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E:\TRIBUTUM\TRIBUTUM 2020\BLOGS\"/>
    </mc:Choice>
  </mc:AlternateContent>
  <xr:revisionPtr revIDLastSave="0" documentId="13_ncr:1_{AE5C4B43-5232-40BB-853D-12340D3D65C0}" xr6:coauthVersionLast="47" xr6:coauthVersionMax="47" xr10:uidLastSave="{00000000-0000-0000-0000-000000000000}"/>
  <bookViews>
    <workbookView xWindow="28680" yWindow="-120" windowWidth="19440" windowHeight="15000" tabRatio="546" firstSheet="1" activeTab="3" xr2:uid="{00000000-000D-0000-FFFF-FFFF00000000}"/>
  </bookViews>
  <sheets>
    <sheet name="Parametros" sheetId="4" state="hidden" r:id="rId1"/>
    <sheet name="Tablas" sheetId="3" r:id="rId2"/>
    <sheet name="Deducciones" sheetId="1" r:id="rId3"/>
    <sheet name="CALCULADORA MES" sheetId="2" r:id="rId4"/>
    <sheet name="F.1357 anual"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7" i="2" l="1"/>
  <c r="G7" i="2"/>
  <c r="H7" i="2"/>
  <c r="I7" i="2"/>
  <c r="J7" i="2"/>
  <c r="K7" i="2"/>
  <c r="L7" i="2"/>
  <c r="M7" i="2"/>
  <c r="N7" i="2"/>
  <c r="O7" i="2"/>
  <c r="E7" i="2"/>
  <c r="E28" i="1"/>
  <c r="F28" i="1" s="1"/>
  <c r="G28" i="1" s="1"/>
  <c r="H28" i="1" s="1"/>
  <c r="I28" i="1" s="1"/>
  <c r="J28" i="1" s="1"/>
  <c r="K28" i="1" s="1"/>
  <c r="L28" i="1" s="1"/>
  <c r="M28" i="1" s="1"/>
  <c r="N28" i="1" s="1"/>
  <c r="O28" i="1" s="1"/>
  <c r="E29" i="1"/>
  <c r="F29" i="1" s="1"/>
  <c r="G29" i="1" s="1"/>
  <c r="H29" i="1" s="1"/>
  <c r="I29" i="1" s="1"/>
  <c r="J29" i="1" s="1"/>
  <c r="K29" i="1" s="1"/>
  <c r="L29" i="1" s="1"/>
  <c r="M29" i="1" s="1"/>
  <c r="N29" i="1" s="1"/>
  <c r="O29" i="1" s="1"/>
  <c r="E30" i="1"/>
  <c r="F30" i="1" s="1"/>
  <c r="G30" i="1" s="1"/>
  <c r="H30" i="1" s="1"/>
  <c r="I30" i="1" s="1"/>
  <c r="J30" i="1" s="1"/>
  <c r="K30" i="1" s="1"/>
  <c r="L30" i="1" s="1"/>
  <c r="M30" i="1" s="1"/>
  <c r="N30" i="1" s="1"/>
  <c r="O30" i="1" s="1"/>
  <c r="E27" i="1"/>
  <c r="F27" i="1" s="1"/>
  <c r="G27" i="1" s="1"/>
  <c r="H27" i="1" s="1"/>
  <c r="I27" i="1" s="1"/>
  <c r="J27" i="1" s="1"/>
  <c r="K27" i="1" s="1"/>
  <c r="L27" i="1" s="1"/>
  <c r="M27" i="1" s="1"/>
  <c r="N27" i="1" s="1"/>
  <c r="O27" i="1" s="1"/>
  <c r="E26" i="1"/>
  <c r="F26" i="1" s="1"/>
  <c r="G26" i="1" s="1"/>
  <c r="H26" i="1" s="1"/>
  <c r="I26" i="1" s="1"/>
  <c r="J26" i="1" s="1"/>
  <c r="K26" i="1" s="1"/>
  <c r="L26" i="1" s="1"/>
  <c r="M26" i="1" s="1"/>
  <c r="N26" i="1" s="1"/>
  <c r="O26" i="1" s="1"/>
  <c r="E3" i="1"/>
  <c r="F3" i="1" s="1"/>
  <c r="G3" i="1" s="1"/>
  <c r="H3" i="1" s="1"/>
  <c r="I3" i="1" s="1"/>
  <c r="J3" i="1" s="1"/>
  <c r="K3" i="1" s="1"/>
  <c r="L3" i="1" s="1"/>
  <c r="M3" i="1" s="1"/>
  <c r="N3" i="1" s="1"/>
  <c r="O3" i="1" s="1"/>
  <c r="E4" i="1"/>
  <c r="F4" i="1" s="1"/>
  <c r="G4" i="1" s="1"/>
  <c r="H4" i="1" s="1"/>
  <c r="I4" i="1" s="1"/>
  <c r="J4" i="1" s="1"/>
  <c r="K4" i="1" s="1"/>
  <c r="L4" i="1" s="1"/>
  <c r="M4" i="1" s="1"/>
  <c r="N4" i="1" s="1"/>
  <c r="O4" i="1" s="1"/>
  <c r="E5" i="1"/>
  <c r="F5" i="1" s="1"/>
  <c r="G5" i="1" s="1"/>
  <c r="H5" i="1" s="1"/>
  <c r="I5" i="1" s="1"/>
  <c r="J5" i="1" s="1"/>
  <c r="K5" i="1" s="1"/>
  <c r="L5" i="1" s="1"/>
  <c r="M5" i="1" s="1"/>
  <c r="N5" i="1" s="1"/>
  <c r="O5" i="1" s="1"/>
  <c r="E6" i="1"/>
  <c r="F6" i="1" s="1"/>
  <c r="G6" i="1" s="1"/>
  <c r="H6" i="1" s="1"/>
  <c r="I6" i="1" s="1"/>
  <c r="J6" i="1" s="1"/>
  <c r="K6" i="1" s="1"/>
  <c r="L6" i="1" s="1"/>
  <c r="M6" i="1" s="1"/>
  <c r="N6" i="1" s="1"/>
  <c r="O6" i="1" s="1"/>
  <c r="E7" i="1"/>
  <c r="F7" i="1" s="1"/>
  <c r="G7" i="1" s="1"/>
  <c r="H7" i="1" s="1"/>
  <c r="I7" i="1" s="1"/>
  <c r="J7" i="1" s="1"/>
  <c r="K7" i="1" s="1"/>
  <c r="L7" i="1" s="1"/>
  <c r="M7" i="1" s="1"/>
  <c r="N7" i="1" s="1"/>
  <c r="O7" i="1" s="1"/>
  <c r="E8" i="1"/>
  <c r="F8" i="1" s="1"/>
  <c r="G8" i="1" s="1"/>
  <c r="H8" i="1" s="1"/>
  <c r="I8" i="1" s="1"/>
  <c r="J8" i="1" s="1"/>
  <c r="K8" i="1" s="1"/>
  <c r="L8" i="1" s="1"/>
  <c r="M8" i="1" s="1"/>
  <c r="N8" i="1" s="1"/>
  <c r="O8" i="1" s="1"/>
  <c r="E9" i="1"/>
  <c r="F9" i="1" s="1"/>
  <c r="G9" i="1" s="1"/>
  <c r="H9" i="1" s="1"/>
  <c r="I9" i="1" s="1"/>
  <c r="J9" i="1" s="1"/>
  <c r="K9" i="1" s="1"/>
  <c r="L9" i="1" s="1"/>
  <c r="M9" i="1" s="1"/>
  <c r="N9" i="1" s="1"/>
  <c r="O9" i="1" s="1"/>
  <c r="E10" i="1"/>
  <c r="F10" i="1" s="1"/>
  <c r="G10" i="1" s="1"/>
  <c r="H10" i="1" s="1"/>
  <c r="I10" i="1" s="1"/>
  <c r="J10" i="1" s="1"/>
  <c r="K10" i="1" s="1"/>
  <c r="L10" i="1" s="1"/>
  <c r="M10" i="1" s="1"/>
  <c r="N10" i="1" s="1"/>
  <c r="O10" i="1" s="1"/>
  <c r="E11" i="1"/>
  <c r="F11" i="1" s="1"/>
  <c r="G11" i="1" s="1"/>
  <c r="H11" i="1" s="1"/>
  <c r="I11" i="1" s="1"/>
  <c r="J11" i="1" s="1"/>
  <c r="K11" i="1" s="1"/>
  <c r="L11" i="1" s="1"/>
  <c r="M11" i="1" s="1"/>
  <c r="N11" i="1" s="1"/>
  <c r="O11" i="1" s="1"/>
  <c r="E12" i="1"/>
  <c r="F12" i="1" s="1"/>
  <c r="G12" i="1" s="1"/>
  <c r="H12" i="1" s="1"/>
  <c r="I12" i="1" s="1"/>
  <c r="J12" i="1" s="1"/>
  <c r="K12" i="1" s="1"/>
  <c r="L12" i="1" s="1"/>
  <c r="M12" i="1" s="1"/>
  <c r="N12" i="1" s="1"/>
  <c r="O12" i="1" s="1"/>
  <c r="E13" i="1"/>
  <c r="F13" i="1" s="1"/>
  <c r="G13" i="1" s="1"/>
  <c r="H13" i="1" s="1"/>
  <c r="I13" i="1" s="1"/>
  <c r="J13" i="1" s="1"/>
  <c r="K13" i="1" s="1"/>
  <c r="L13" i="1" s="1"/>
  <c r="M13" i="1" s="1"/>
  <c r="N13" i="1" s="1"/>
  <c r="O13" i="1" s="1"/>
  <c r="E14" i="1"/>
  <c r="F14" i="1" s="1"/>
  <c r="G14" i="1" s="1"/>
  <c r="H14" i="1" s="1"/>
  <c r="I14" i="1" s="1"/>
  <c r="J14" i="1" s="1"/>
  <c r="K14" i="1" s="1"/>
  <c r="L14" i="1" s="1"/>
  <c r="M14" i="1" s="1"/>
  <c r="N14" i="1" s="1"/>
  <c r="O14" i="1" s="1"/>
  <c r="E15" i="1"/>
  <c r="F15" i="1" s="1"/>
  <c r="G15" i="1" s="1"/>
  <c r="H15" i="1" s="1"/>
  <c r="I15" i="1" s="1"/>
  <c r="J15" i="1" s="1"/>
  <c r="K15" i="1" s="1"/>
  <c r="L15" i="1" s="1"/>
  <c r="M15" i="1" s="1"/>
  <c r="N15" i="1" s="1"/>
  <c r="O15" i="1" s="1"/>
  <c r="E16" i="1"/>
  <c r="F16" i="1" s="1"/>
  <c r="G16" i="1" s="1"/>
  <c r="H16" i="1" s="1"/>
  <c r="I16" i="1" s="1"/>
  <c r="J16" i="1" s="1"/>
  <c r="K16" i="1" s="1"/>
  <c r="L16" i="1" s="1"/>
  <c r="M16" i="1" s="1"/>
  <c r="N16" i="1" s="1"/>
  <c r="O16" i="1" s="1"/>
  <c r="E17" i="1"/>
  <c r="F17" i="1" s="1"/>
  <c r="G17" i="1" s="1"/>
  <c r="H17" i="1" s="1"/>
  <c r="I17" i="1" s="1"/>
  <c r="J17" i="1" s="1"/>
  <c r="K17" i="1" s="1"/>
  <c r="L17" i="1" s="1"/>
  <c r="M17" i="1" s="1"/>
  <c r="N17" i="1" s="1"/>
  <c r="O17" i="1" s="1"/>
  <c r="E18" i="1"/>
  <c r="F18" i="1" s="1"/>
  <c r="G18" i="1" s="1"/>
  <c r="H18" i="1" s="1"/>
  <c r="I18" i="1" s="1"/>
  <c r="J18" i="1" s="1"/>
  <c r="K18" i="1" s="1"/>
  <c r="L18" i="1" s="1"/>
  <c r="M18" i="1" s="1"/>
  <c r="N18" i="1" s="1"/>
  <c r="O18" i="1" s="1"/>
  <c r="E19" i="1"/>
  <c r="F19" i="1" s="1"/>
  <c r="G19" i="1" s="1"/>
  <c r="H19" i="1" s="1"/>
  <c r="I19" i="1" s="1"/>
  <c r="J19" i="1" s="1"/>
  <c r="K19" i="1" s="1"/>
  <c r="L19" i="1" s="1"/>
  <c r="M19" i="1" s="1"/>
  <c r="N19" i="1" s="1"/>
  <c r="O19" i="1" s="1"/>
  <c r="E2" i="1"/>
  <c r="F2" i="1" s="1"/>
  <c r="G2" i="1" s="1"/>
  <c r="H2" i="1" s="1"/>
  <c r="I2" i="1" s="1"/>
  <c r="J2" i="1" s="1"/>
  <c r="K2" i="1" s="1"/>
  <c r="L2" i="1" s="1"/>
  <c r="M2" i="1" s="1"/>
  <c r="N2" i="1" s="1"/>
  <c r="O2" i="1" s="1"/>
  <c r="F33" i="3"/>
  <c r="G33" i="3"/>
  <c r="H33" i="3"/>
  <c r="I33" i="3"/>
  <c r="J33" i="3"/>
  <c r="K33" i="3"/>
  <c r="L33" i="3"/>
  <c r="M33" i="3"/>
  <c r="N33" i="3"/>
  <c r="O33" i="3"/>
  <c r="E33" i="3"/>
  <c r="K283" i="2"/>
  <c r="J283" i="2"/>
  <c r="A283" i="2"/>
  <c r="U283" i="2" s="1"/>
  <c r="E163" i="2"/>
  <c r="F163" i="2"/>
  <c r="G163" i="2"/>
  <c r="H163" i="2"/>
  <c r="I163" i="2"/>
  <c r="J163" i="2"/>
  <c r="K163" i="2"/>
  <c r="L163" i="2"/>
  <c r="M163" i="2"/>
  <c r="N163" i="2"/>
  <c r="O163" i="2"/>
  <c r="D163" i="2"/>
  <c r="E132" i="2"/>
  <c r="F132" i="2"/>
  <c r="G132" i="2"/>
  <c r="H132" i="2"/>
  <c r="I132" i="2"/>
  <c r="J132" i="2"/>
  <c r="K132" i="2"/>
  <c r="L132" i="2"/>
  <c r="M132" i="2"/>
  <c r="N132" i="2"/>
  <c r="O132" i="2"/>
  <c r="D132" i="2"/>
  <c r="B18" i="4"/>
  <c r="D69" i="2"/>
  <c r="O19" i="3"/>
  <c r="O20" i="3"/>
  <c r="O21" i="3"/>
  <c r="O22" i="3"/>
  <c r="O23" i="3"/>
  <c r="O24" i="3"/>
  <c r="O25" i="3"/>
  <c r="O26" i="3"/>
  <c r="O18" i="3"/>
  <c r="N19" i="3"/>
  <c r="N20" i="3"/>
  <c r="N21" i="3"/>
  <c r="N22" i="3"/>
  <c r="N23" i="3"/>
  <c r="N24" i="3"/>
  <c r="N25" i="3"/>
  <c r="N26" i="3"/>
  <c r="E7" i="3"/>
  <c r="F7" i="3" s="1"/>
  <c r="E5" i="3"/>
  <c r="E4" i="3"/>
  <c r="E3" i="3"/>
  <c r="N18" i="3"/>
  <c r="R283" i="2" l="1"/>
  <c r="P132" i="2"/>
  <c r="E36" i="3"/>
  <c r="F36" i="3" s="1"/>
  <c r="F4" i="3"/>
  <c r="F5" i="3"/>
  <c r="F6" i="3" s="1"/>
  <c r="F3" i="3"/>
  <c r="G36" i="3" l="1"/>
  <c r="H36" i="3" s="1"/>
  <c r="I36" i="3" s="1"/>
  <c r="J36" i="3" s="1"/>
  <c r="K36" i="3" s="1"/>
  <c r="L36" i="3" s="1"/>
  <c r="T297" i="2"/>
  <c r="M36" i="3" l="1"/>
  <c r="N36" i="3" s="1"/>
  <c r="O36" i="3" s="1"/>
  <c r="P305" i="2"/>
  <c r="R305" i="2"/>
  <c r="S300" i="2"/>
  <c r="R300" i="2"/>
  <c r="S305" i="2" l="1"/>
  <c r="R312" i="2" s="1"/>
  <c r="D68" i="2" l="1"/>
  <c r="D232" i="2" l="1"/>
  <c r="Q228" i="2"/>
  <c r="Q226" i="2"/>
  <c r="Q224" i="2"/>
  <c r="Q223" i="2"/>
  <c r="Q221" i="2"/>
  <c r="Q214" i="2"/>
  <c r="K371" i="2"/>
  <c r="L371" i="2"/>
  <c r="M371" i="2"/>
  <c r="N371" i="2"/>
  <c r="J371" i="2"/>
  <c r="E371" i="2"/>
  <c r="F371" i="2"/>
  <c r="G371" i="2"/>
  <c r="H371" i="2"/>
  <c r="D371" i="2"/>
  <c r="O371" i="2" l="1"/>
  <c r="E232" i="2"/>
  <c r="F232" i="2" s="1"/>
  <c r="G232" i="2" s="1"/>
  <c r="I371" i="2"/>
  <c r="S301" i="2"/>
  <c r="T295" i="2" l="1"/>
  <c r="S306" i="2"/>
  <c r="P294" i="2" s="1"/>
  <c r="H232" i="2"/>
  <c r="I232" i="2" s="1"/>
  <c r="J232" i="2" s="1"/>
  <c r="K232" i="2" s="1"/>
  <c r="L232" i="2" l="1"/>
  <c r="M232" i="2" s="1"/>
  <c r="N232" i="2" l="1"/>
  <c r="O232" i="2" s="1"/>
  <c r="P19" i="1" l="1"/>
  <c r="P18" i="1"/>
  <c r="P17" i="1"/>
  <c r="P16" i="1"/>
  <c r="P15" i="1"/>
  <c r="P14" i="1"/>
  <c r="P13" i="1"/>
  <c r="P12" i="1"/>
  <c r="P11" i="1"/>
  <c r="P10" i="1"/>
  <c r="P9" i="1"/>
  <c r="P236" i="2" s="1"/>
  <c r="P8" i="1"/>
  <c r="P235" i="2" s="1"/>
  <c r="P7" i="1"/>
  <c r="P234" i="2" s="1"/>
  <c r="P6" i="1"/>
  <c r="P233" i="2" s="1"/>
  <c r="P5" i="1"/>
  <c r="P4" i="1"/>
  <c r="P3" i="1"/>
  <c r="P2" i="1"/>
  <c r="C43" i="3" l="1"/>
  <c r="C42" i="3"/>
  <c r="C41" i="3"/>
  <c r="C40" i="3"/>
  <c r="G4" i="3"/>
  <c r="N322" i="2" s="1"/>
  <c r="N270" i="2" s="1"/>
  <c r="G5" i="3"/>
  <c r="K324" i="2" s="1"/>
  <c r="K271" i="2" s="1"/>
  <c r="G7" i="3"/>
  <c r="K328" i="2" s="1"/>
  <c r="K273" i="2" s="1"/>
  <c r="G3" i="3"/>
  <c r="O14" i="3" l="1"/>
  <c r="O7" i="3"/>
  <c r="O8" i="3"/>
  <c r="O322" i="2"/>
  <c r="O270" i="2" s="1"/>
  <c r="G322" i="2"/>
  <c r="G270" i="2" s="1"/>
  <c r="H322" i="2"/>
  <c r="H270" i="2" s="1"/>
  <c r="J322" i="2"/>
  <c r="J270" i="2" s="1"/>
  <c r="F320" i="2"/>
  <c r="F269" i="2" s="1"/>
  <c r="I322" i="2"/>
  <c r="I270" i="2" s="1"/>
  <c r="K322" i="2"/>
  <c r="K270" i="2" s="1"/>
  <c r="E322" i="2"/>
  <c r="E270" i="2" s="1"/>
  <c r="M322" i="2"/>
  <c r="M270" i="2" s="1"/>
  <c r="D322" i="2"/>
  <c r="D270" i="2" s="1"/>
  <c r="L322" i="2"/>
  <c r="L270" i="2" s="1"/>
  <c r="F322" i="2"/>
  <c r="F270" i="2" s="1"/>
  <c r="L328" i="2"/>
  <c r="L273" i="2" s="1"/>
  <c r="E328" i="2"/>
  <c r="E273" i="2" s="1"/>
  <c r="M328" i="2"/>
  <c r="M273" i="2" s="1"/>
  <c r="D328" i="2"/>
  <c r="D273" i="2" s="1"/>
  <c r="K320" i="2"/>
  <c r="K269" i="2" s="1"/>
  <c r="D141" i="2"/>
  <c r="I324" i="2"/>
  <c r="I271" i="2" s="1"/>
  <c r="D320" i="2"/>
  <c r="D269" i="2" s="1"/>
  <c r="L324" i="2"/>
  <c r="L271" i="2" s="1"/>
  <c r="N328" i="2"/>
  <c r="N273" i="2" s="1"/>
  <c r="E320" i="2"/>
  <c r="E269" i="2" s="1"/>
  <c r="M324" i="2"/>
  <c r="M271" i="2" s="1"/>
  <c r="O328" i="2"/>
  <c r="O273" i="2" s="1"/>
  <c r="H324" i="2"/>
  <c r="H271" i="2" s="1"/>
  <c r="L320" i="2"/>
  <c r="L269" i="2" s="1"/>
  <c r="M320" i="2"/>
  <c r="M269" i="2" s="1"/>
  <c r="F324" i="2"/>
  <c r="F271" i="2" s="1"/>
  <c r="F328" i="2"/>
  <c r="F273" i="2" s="1"/>
  <c r="D324" i="2"/>
  <c r="D271" i="2" s="1"/>
  <c r="N324" i="2"/>
  <c r="N271" i="2" s="1"/>
  <c r="E324" i="2"/>
  <c r="E271" i="2" s="1"/>
  <c r="O324" i="2"/>
  <c r="O271" i="2" s="1"/>
  <c r="N320" i="2"/>
  <c r="N269" i="2" s="1"/>
  <c r="G324" i="2"/>
  <c r="G271" i="2" s="1"/>
  <c r="G328" i="2"/>
  <c r="G273" i="2" s="1"/>
  <c r="G320" i="2"/>
  <c r="G269" i="2" s="1"/>
  <c r="O320" i="2"/>
  <c r="O269" i="2" s="1"/>
  <c r="H320" i="2"/>
  <c r="H269" i="2" s="1"/>
  <c r="H328" i="2"/>
  <c r="H273" i="2" s="1"/>
  <c r="I320" i="2"/>
  <c r="I269" i="2" s="1"/>
  <c r="I328" i="2"/>
  <c r="I273" i="2" s="1"/>
  <c r="J320" i="2"/>
  <c r="J269" i="2" s="1"/>
  <c r="J324" i="2"/>
  <c r="J271" i="2" s="1"/>
  <c r="J328" i="2"/>
  <c r="J273" i="2" s="1"/>
  <c r="A197" i="2"/>
  <c r="A108" i="2"/>
  <c r="A228" i="2"/>
  <c r="A198" i="2"/>
  <c r="A109" i="2"/>
  <c r="D230" i="2" l="1"/>
  <c r="E230" i="2" s="1"/>
  <c r="F230" i="2" s="1"/>
  <c r="G230" i="2" s="1"/>
  <c r="H230" i="2" s="1"/>
  <c r="I230" i="2" s="1"/>
  <c r="D229" i="2"/>
  <c r="E229" i="2" s="1"/>
  <c r="F229" i="2" s="1"/>
  <c r="D231" i="2"/>
  <c r="D170" i="2"/>
  <c r="E141" i="2"/>
  <c r="B97" i="5"/>
  <c r="B96" i="5"/>
  <c r="G229" i="2" l="1"/>
  <c r="H229" i="2" s="1"/>
  <c r="I229" i="2" s="1"/>
  <c r="J229" i="2" s="1"/>
  <c r="K229" i="2" s="1"/>
  <c r="L229" i="2" s="1"/>
  <c r="M229" i="2" s="1"/>
  <c r="J230" i="2"/>
  <c r="K230" i="2" s="1"/>
  <c r="E231" i="2"/>
  <c r="F141" i="2"/>
  <c r="E170" i="2"/>
  <c r="M1" i="2"/>
  <c r="O1" i="2"/>
  <c r="L230" i="2" l="1"/>
  <c r="M230" i="2" s="1"/>
  <c r="N230" i="2" s="1"/>
  <c r="F231" i="2"/>
  <c r="N229" i="2"/>
  <c r="O229" i="2" s="1"/>
  <c r="F170" i="2"/>
  <c r="G141" i="2"/>
  <c r="D108" i="2"/>
  <c r="D107" i="2"/>
  <c r="D106" i="2"/>
  <c r="D105" i="2"/>
  <c r="D44" i="3"/>
  <c r="E43" i="3"/>
  <c r="F43" i="3" s="1"/>
  <c r="G43" i="3" s="1"/>
  <c r="H43" i="3" s="1"/>
  <c r="I43" i="3" s="1"/>
  <c r="J43" i="3" s="1"/>
  <c r="K43" i="3" s="1"/>
  <c r="L43" i="3" s="1"/>
  <c r="M43" i="3" s="1"/>
  <c r="N43" i="3" s="1"/>
  <c r="O43" i="3" s="1"/>
  <c r="E42" i="3"/>
  <c r="F42" i="3" s="1"/>
  <c r="G42" i="3" s="1"/>
  <c r="H42" i="3" s="1"/>
  <c r="I42" i="3" s="1"/>
  <c r="J42" i="3" s="1"/>
  <c r="K42" i="3" s="1"/>
  <c r="L42" i="3" s="1"/>
  <c r="M42" i="3" s="1"/>
  <c r="N42" i="3" s="1"/>
  <c r="O42" i="3" s="1"/>
  <c r="E41" i="3"/>
  <c r="F41" i="3" s="1"/>
  <c r="G41" i="3" s="1"/>
  <c r="H41" i="3" s="1"/>
  <c r="I41" i="3" s="1"/>
  <c r="J41" i="3" s="1"/>
  <c r="K41" i="3" s="1"/>
  <c r="L41" i="3" s="1"/>
  <c r="M41" i="3" s="1"/>
  <c r="N41" i="3" s="1"/>
  <c r="O41" i="3" s="1"/>
  <c r="E40" i="3"/>
  <c r="F40" i="3" s="1"/>
  <c r="B180" i="2"/>
  <c r="B179" i="2"/>
  <c r="B175" i="2"/>
  <c r="B176" i="2"/>
  <c r="B171" i="2"/>
  <c r="B169" i="2"/>
  <c r="B168" i="2"/>
  <c r="B167" i="2"/>
  <c r="B164" i="2"/>
  <c r="B165" i="2"/>
  <c r="B166" i="2"/>
  <c r="B163" i="2"/>
  <c r="B170" i="2" s="1"/>
  <c r="B162" i="2"/>
  <c r="B161" i="2"/>
  <c r="B158" i="2"/>
  <c r="B157" i="2"/>
  <c r="B151" i="2"/>
  <c r="B152" i="2"/>
  <c r="B153" i="2"/>
  <c r="B150" i="2"/>
  <c r="B146" i="2"/>
  <c r="B147" i="2"/>
  <c r="B142" i="2"/>
  <c r="B140" i="2"/>
  <c r="B137" i="2"/>
  <c r="B138" i="2"/>
  <c r="B139" i="2"/>
  <c r="B136" i="2"/>
  <c r="B133" i="2"/>
  <c r="B134" i="2"/>
  <c r="B135" i="2"/>
  <c r="B132" i="2"/>
  <c r="B141" i="2" s="1"/>
  <c r="B131" i="2"/>
  <c r="B130" i="2"/>
  <c r="B129" i="2"/>
  <c r="B128" i="2"/>
  <c r="B127" i="2"/>
  <c r="B126" i="2"/>
  <c r="B125" i="2"/>
  <c r="B124" i="2"/>
  <c r="B56" i="2"/>
  <c r="B174" i="2" s="1"/>
  <c r="B55" i="2"/>
  <c r="B173" i="2" s="1"/>
  <c r="B54" i="2"/>
  <c r="B172" i="2" s="1"/>
  <c r="B27" i="2"/>
  <c r="B145" i="2" s="1"/>
  <c r="B26" i="2"/>
  <c r="B144" i="2" s="1"/>
  <c r="B25" i="2"/>
  <c r="B143" i="2" s="1"/>
  <c r="T244" i="2"/>
  <c r="T245" i="2"/>
  <c r="T246" i="2"/>
  <c r="T247" i="2"/>
  <c r="T248" i="2"/>
  <c r="T177" i="2"/>
  <c r="T178" i="2"/>
  <c r="T159" i="2"/>
  <c r="T160" i="2"/>
  <c r="B109" i="5"/>
  <c r="O230" i="2" l="1"/>
  <c r="G231" i="2"/>
  <c r="G170" i="2"/>
  <c r="L108" i="2"/>
  <c r="H141" i="2"/>
  <c r="I141" i="2" s="1"/>
  <c r="O166" i="2"/>
  <c r="G166" i="2"/>
  <c r="N166" i="2"/>
  <c r="F166" i="2"/>
  <c r="M166" i="2"/>
  <c r="E166" i="2"/>
  <c r="L166" i="2"/>
  <c r="D166" i="2"/>
  <c r="K166" i="2"/>
  <c r="J166" i="2"/>
  <c r="I166" i="2"/>
  <c r="H166" i="2"/>
  <c r="K165" i="2"/>
  <c r="J165" i="2"/>
  <c r="I165" i="2"/>
  <c r="H165" i="2"/>
  <c r="O165" i="2"/>
  <c r="F165" i="2"/>
  <c r="M165" i="2"/>
  <c r="E165" i="2"/>
  <c r="L165" i="2"/>
  <c r="N165" i="2"/>
  <c r="G165" i="2"/>
  <c r="D165" i="2"/>
  <c r="O135" i="2"/>
  <c r="G135" i="2"/>
  <c r="N135" i="2"/>
  <c r="F135" i="2"/>
  <c r="M135" i="2"/>
  <c r="E135" i="2"/>
  <c r="D135" i="2"/>
  <c r="L135" i="2"/>
  <c r="K135" i="2"/>
  <c r="J135" i="2"/>
  <c r="I135" i="2"/>
  <c r="H135" i="2"/>
  <c r="K134" i="2"/>
  <c r="J134" i="2"/>
  <c r="I134" i="2"/>
  <c r="H134" i="2"/>
  <c r="O134" i="2"/>
  <c r="G134" i="2"/>
  <c r="N134" i="2"/>
  <c r="F134" i="2"/>
  <c r="M134" i="2"/>
  <c r="E134" i="2"/>
  <c r="L134" i="2"/>
  <c r="D134" i="2"/>
  <c r="J108" i="2"/>
  <c r="K108" i="2"/>
  <c r="M108" i="2"/>
  <c r="E108" i="2"/>
  <c r="N108" i="2"/>
  <c r="F108" i="2"/>
  <c r="G108" i="2"/>
  <c r="H108" i="2"/>
  <c r="G40" i="3"/>
  <c r="F44" i="3"/>
  <c r="E44" i="3"/>
  <c r="D191" i="2"/>
  <c r="P165" i="2" l="1"/>
  <c r="P166" i="2"/>
  <c r="P134" i="2"/>
  <c r="P135" i="2"/>
  <c r="H231" i="2"/>
  <c r="I231" i="2" s="1"/>
  <c r="J231" i="2" s="1"/>
  <c r="J141" i="2"/>
  <c r="H170" i="2"/>
  <c r="G44" i="3"/>
  <c r="H40" i="3"/>
  <c r="D84" i="2"/>
  <c r="K231" i="2" l="1"/>
  <c r="L231" i="2" s="1"/>
  <c r="K141" i="2"/>
  <c r="L141" i="2" s="1"/>
  <c r="M141" i="2" s="1"/>
  <c r="N141" i="2" s="1"/>
  <c r="O141" i="2" s="1"/>
  <c r="I170" i="2"/>
  <c r="J170" i="2" s="1"/>
  <c r="I40" i="3"/>
  <c r="H44" i="3"/>
  <c r="M231" i="2" l="1"/>
  <c r="N231" i="2" s="1"/>
  <c r="O231" i="2" s="1"/>
  <c r="K170" i="2"/>
  <c r="L170" i="2" s="1"/>
  <c r="M170" i="2" s="1"/>
  <c r="N170" i="2" s="1"/>
  <c r="O170" i="2" s="1"/>
  <c r="J40" i="3"/>
  <c r="I44" i="3"/>
  <c r="K40" i="3" l="1"/>
  <c r="J44" i="3"/>
  <c r="D131" i="2"/>
  <c r="E131" i="2"/>
  <c r="F131" i="2"/>
  <c r="G131" i="2"/>
  <c r="H131" i="2"/>
  <c r="I131" i="2"/>
  <c r="J131" i="2"/>
  <c r="K131" i="2"/>
  <c r="L131" i="2"/>
  <c r="M131" i="2"/>
  <c r="N131" i="2"/>
  <c r="O131" i="2"/>
  <c r="E130" i="2"/>
  <c r="F130" i="2"/>
  <c r="G130" i="2"/>
  <c r="H130" i="2"/>
  <c r="I130" i="2"/>
  <c r="J130" i="2"/>
  <c r="K130" i="2"/>
  <c r="L130" i="2"/>
  <c r="M130" i="2"/>
  <c r="N130" i="2"/>
  <c r="O130" i="2"/>
  <c r="D130" i="2"/>
  <c r="C130" i="2"/>
  <c r="C131" i="2"/>
  <c r="C132" i="2"/>
  <c r="L40" i="3" l="1"/>
  <c r="K44" i="3"/>
  <c r="P131" i="2"/>
  <c r="T131" i="2" s="1"/>
  <c r="P130" i="2"/>
  <c r="T130" i="2" s="1"/>
  <c r="M40" i="3" l="1"/>
  <c r="L44" i="3"/>
  <c r="C151" i="2"/>
  <c r="C150" i="2"/>
  <c r="C134" i="2"/>
  <c r="C135" i="2"/>
  <c r="C133" i="2"/>
  <c r="C129" i="2"/>
  <c r="C128" i="2"/>
  <c r="C127" i="2"/>
  <c r="C126" i="2"/>
  <c r="C125" i="2"/>
  <c r="C124" i="2"/>
  <c r="O69" i="2"/>
  <c r="N69" i="2"/>
  <c r="M69" i="2"/>
  <c r="L69" i="2"/>
  <c r="K69" i="2"/>
  <c r="J69" i="2"/>
  <c r="I69" i="2"/>
  <c r="H69" i="2"/>
  <c r="G69" i="2"/>
  <c r="F69" i="2"/>
  <c r="E69" i="2"/>
  <c r="O68" i="2"/>
  <c r="N68" i="2"/>
  <c r="M68" i="2"/>
  <c r="L68" i="2"/>
  <c r="K68" i="2"/>
  <c r="J68" i="2"/>
  <c r="I68" i="2"/>
  <c r="H68" i="2"/>
  <c r="G68" i="2"/>
  <c r="F68" i="2"/>
  <c r="E68" i="2"/>
  <c r="C27" i="2"/>
  <c r="C26" i="2"/>
  <c r="C25" i="2"/>
  <c r="D83" i="2" s="1"/>
  <c r="D89" i="2" s="1"/>
  <c r="N83" i="2" l="1"/>
  <c r="N89" i="2" s="1"/>
  <c r="G83" i="2"/>
  <c r="G89" i="2" s="1"/>
  <c r="K83" i="2"/>
  <c r="K89" i="2" s="1"/>
  <c r="F83" i="2"/>
  <c r="F89" i="2" s="1"/>
  <c r="M83" i="2"/>
  <c r="M89" i="2" s="1"/>
  <c r="D360" i="2"/>
  <c r="L359" i="2"/>
  <c r="D359" i="2"/>
  <c r="K359" i="2"/>
  <c r="O359" i="2"/>
  <c r="J359" i="2"/>
  <c r="E359" i="2"/>
  <c r="I359" i="2"/>
  <c r="H359" i="2"/>
  <c r="G359" i="2"/>
  <c r="N359" i="2"/>
  <c r="F359" i="2"/>
  <c r="M359" i="2"/>
  <c r="N40" i="3"/>
  <c r="M44" i="3"/>
  <c r="L83" i="2"/>
  <c r="L89" i="2" s="1"/>
  <c r="O83" i="2"/>
  <c r="O89" i="2" s="1"/>
  <c r="J83" i="2"/>
  <c r="J89" i="2" s="1"/>
  <c r="H83" i="2"/>
  <c r="H89" i="2" s="1"/>
  <c r="I83" i="2"/>
  <c r="I89" i="2" s="1"/>
  <c r="E83" i="2"/>
  <c r="E89" i="2" s="1"/>
  <c r="D101" i="2" l="1"/>
  <c r="E360" i="2"/>
  <c r="O40" i="3"/>
  <c r="O44" i="3" s="1"/>
  <c r="N44" i="3"/>
  <c r="D345" i="2"/>
  <c r="E345" i="2" s="1"/>
  <c r="F345" i="2" s="1"/>
  <c r="G345" i="2" s="1"/>
  <c r="H345" i="2" s="1"/>
  <c r="I345" i="2" s="1"/>
  <c r="J345" i="2" s="1"/>
  <c r="K345" i="2" s="1"/>
  <c r="L345" i="2" s="1"/>
  <c r="M345" i="2" s="1"/>
  <c r="N345" i="2" s="1"/>
  <c r="O345" i="2" s="1"/>
  <c r="Q35" i="2"/>
  <c r="Q153" i="2" s="1"/>
  <c r="T153" i="2" s="1"/>
  <c r="P33" i="2"/>
  <c r="Q20" i="2"/>
  <c r="Q137" i="2" s="1"/>
  <c r="Q21" i="2"/>
  <c r="Q22" i="2"/>
  <c r="Q139" i="2" s="1"/>
  <c r="T139" i="2" s="1"/>
  <c r="D335" i="2"/>
  <c r="E335" i="2" s="1"/>
  <c r="F335" i="2" s="1"/>
  <c r="G335" i="2" s="1"/>
  <c r="H335" i="2" s="1"/>
  <c r="I335" i="2" s="1"/>
  <c r="J335" i="2" s="1"/>
  <c r="K335" i="2" s="1"/>
  <c r="L335" i="2" s="1"/>
  <c r="M335" i="2" s="1"/>
  <c r="N335" i="2" s="1"/>
  <c r="O335" i="2" s="1"/>
  <c r="E125" i="2"/>
  <c r="F125" i="2"/>
  <c r="G125" i="2"/>
  <c r="H125" i="2"/>
  <c r="I125" i="2"/>
  <c r="J125" i="2"/>
  <c r="K125" i="2"/>
  <c r="L125" i="2"/>
  <c r="M125" i="2"/>
  <c r="N125" i="2"/>
  <c r="O125" i="2"/>
  <c r="D125" i="2"/>
  <c r="P10" i="2"/>
  <c r="P8" i="2"/>
  <c r="E101" i="2" l="1"/>
  <c r="F360" i="2"/>
  <c r="D336" i="2"/>
  <c r="E336" i="2" s="1"/>
  <c r="F336" i="2" s="1"/>
  <c r="G336" i="2" s="1"/>
  <c r="D346" i="2"/>
  <c r="E346" i="2" s="1"/>
  <c r="F346" i="2" s="1"/>
  <c r="G346" i="2" s="1"/>
  <c r="P125" i="2"/>
  <c r="T125" i="2" s="1"/>
  <c r="G360" i="2" l="1"/>
  <c r="H346" i="2"/>
  <c r="I346" i="2" s="1"/>
  <c r="J346" i="2" s="1"/>
  <c r="K346" i="2" s="1"/>
  <c r="L346" i="2" s="1"/>
  <c r="M346" i="2" s="1"/>
  <c r="N346" i="2" s="1"/>
  <c r="O346" i="2" s="1"/>
  <c r="P345" i="2"/>
  <c r="P151" i="2" s="1"/>
  <c r="H336" i="2"/>
  <c r="I336" i="2" s="1"/>
  <c r="J336" i="2" s="1"/>
  <c r="K336" i="2" s="1"/>
  <c r="L336" i="2" s="1"/>
  <c r="M336" i="2" s="1"/>
  <c r="N336" i="2" s="1"/>
  <c r="O336" i="2" s="1"/>
  <c r="P335" i="2"/>
  <c r="P127" i="2" s="1"/>
  <c r="G101" i="2" l="1"/>
  <c r="F101" i="2"/>
  <c r="H360" i="2"/>
  <c r="E228" i="2"/>
  <c r="F228" i="2"/>
  <c r="G228" i="2"/>
  <c r="H228" i="2"/>
  <c r="J228" i="2"/>
  <c r="K228" i="2"/>
  <c r="L228" i="2"/>
  <c r="M228" i="2"/>
  <c r="N228" i="2"/>
  <c r="D228" i="2"/>
  <c r="E227" i="2"/>
  <c r="F227" i="2"/>
  <c r="G227" i="2"/>
  <c r="H227" i="2"/>
  <c r="I227" i="2"/>
  <c r="J227" i="2"/>
  <c r="K227" i="2"/>
  <c r="L227" i="2"/>
  <c r="M227" i="2"/>
  <c r="N227" i="2"/>
  <c r="O227" i="2"/>
  <c r="D227" i="2"/>
  <c r="E225" i="2"/>
  <c r="F225" i="2"/>
  <c r="G225" i="2"/>
  <c r="H225" i="2"/>
  <c r="I225" i="2"/>
  <c r="J225" i="2"/>
  <c r="K225" i="2"/>
  <c r="L225" i="2"/>
  <c r="M225" i="2"/>
  <c r="N225" i="2"/>
  <c r="O225" i="2"/>
  <c r="D225" i="2"/>
  <c r="E222" i="2"/>
  <c r="F222" i="2"/>
  <c r="G222" i="2"/>
  <c r="H222" i="2"/>
  <c r="I222" i="2"/>
  <c r="J222" i="2"/>
  <c r="K222" i="2"/>
  <c r="L222" i="2"/>
  <c r="M222" i="2"/>
  <c r="N222" i="2"/>
  <c r="O222" i="2"/>
  <c r="D222" i="2"/>
  <c r="D355" i="2"/>
  <c r="D356" i="2" s="1"/>
  <c r="I360" i="2" l="1"/>
  <c r="P225" i="2"/>
  <c r="T225" i="2" s="1"/>
  <c r="B67" i="5" s="1"/>
  <c r="P222" i="2"/>
  <c r="T222" i="2" s="1"/>
  <c r="B65" i="5" s="1"/>
  <c r="P227" i="2"/>
  <c r="T227" i="2" s="1"/>
  <c r="B69" i="5" s="1"/>
  <c r="E355" i="2"/>
  <c r="F355" i="2" s="1"/>
  <c r="G355" i="2" s="1"/>
  <c r="H355" i="2" s="1"/>
  <c r="I355" i="2" s="1"/>
  <c r="J355" i="2" s="1"/>
  <c r="K355" i="2" s="1"/>
  <c r="L355" i="2" s="1"/>
  <c r="M355" i="2" s="1"/>
  <c r="N355" i="2" s="1"/>
  <c r="O355" i="2" s="1"/>
  <c r="D353" i="2"/>
  <c r="D354" i="2" s="1"/>
  <c r="D351" i="2"/>
  <c r="E351" i="2" s="1"/>
  <c r="F351" i="2" s="1"/>
  <c r="G351" i="2" s="1"/>
  <c r="H351" i="2" s="1"/>
  <c r="I351" i="2" s="1"/>
  <c r="J351" i="2" s="1"/>
  <c r="K351" i="2" s="1"/>
  <c r="L351" i="2" s="1"/>
  <c r="M351" i="2" s="1"/>
  <c r="N351" i="2" s="1"/>
  <c r="O351" i="2" s="1"/>
  <c r="H101" i="2" l="1"/>
  <c r="J360" i="2"/>
  <c r="E353" i="2"/>
  <c r="F353" i="2" s="1"/>
  <c r="G353" i="2" s="1"/>
  <c r="H353" i="2" s="1"/>
  <c r="I353" i="2" s="1"/>
  <c r="J353" i="2" s="1"/>
  <c r="K353" i="2" s="1"/>
  <c r="L353" i="2" s="1"/>
  <c r="M353" i="2" s="1"/>
  <c r="N353" i="2" s="1"/>
  <c r="O353" i="2" s="1"/>
  <c r="E356" i="2"/>
  <c r="F356" i="2" s="1"/>
  <c r="G356" i="2" s="1"/>
  <c r="H356" i="2" s="1"/>
  <c r="I356" i="2" s="1"/>
  <c r="J356" i="2" s="1"/>
  <c r="K356" i="2" s="1"/>
  <c r="L356" i="2" s="1"/>
  <c r="M356" i="2" s="1"/>
  <c r="N356" i="2" s="1"/>
  <c r="O356" i="2" s="1"/>
  <c r="P355" i="2"/>
  <c r="P179" i="2" s="1"/>
  <c r="D352" i="2"/>
  <c r="E352" i="2" s="1"/>
  <c r="D349" i="2"/>
  <c r="D350" i="2" s="1"/>
  <c r="E162" i="2"/>
  <c r="F162" i="2"/>
  <c r="G162" i="2"/>
  <c r="H162" i="2"/>
  <c r="I162" i="2"/>
  <c r="J162" i="2"/>
  <c r="K162" i="2"/>
  <c r="L162" i="2"/>
  <c r="M162" i="2"/>
  <c r="N162" i="2"/>
  <c r="O162" i="2"/>
  <c r="D162" i="2"/>
  <c r="E161" i="2"/>
  <c r="F161" i="2"/>
  <c r="G161" i="2"/>
  <c r="H161" i="2"/>
  <c r="I161" i="2"/>
  <c r="J161" i="2"/>
  <c r="K161" i="2"/>
  <c r="L161" i="2"/>
  <c r="M161" i="2"/>
  <c r="N161" i="2"/>
  <c r="O161" i="2"/>
  <c r="D161" i="2"/>
  <c r="D347" i="2"/>
  <c r="D348" i="2" s="1"/>
  <c r="E157" i="2"/>
  <c r="F157" i="2"/>
  <c r="G157" i="2"/>
  <c r="H157" i="2"/>
  <c r="I157" i="2"/>
  <c r="J157" i="2"/>
  <c r="K157" i="2"/>
  <c r="L157" i="2"/>
  <c r="M157" i="2"/>
  <c r="N157" i="2"/>
  <c r="O157" i="2"/>
  <c r="D157" i="2"/>
  <c r="I101" i="2" l="1"/>
  <c r="K360" i="2"/>
  <c r="P157" i="2"/>
  <c r="T157" i="2" s="1"/>
  <c r="B35" i="5" s="1"/>
  <c r="P162" i="2"/>
  <c r="T162" i="2" s="1"/>
  <c r="B40" i="5" s="1"/>
  <c r="P161" i="2"/>
  <c r="T161" i="2" s="1"/>
  <c r="B39" i="5" s="1"/>
  <c r="E347" i="2"/>
  <c r="F347" i="2" s="1"/>
  <c r="G347" i="2" s="1"/>
  <c r="H347" i="2" s="1"/>
  <c r="I347" i="2" s="1"/>
  <c r="J347" i="2" s="1"/>
  <c r="K347" i="2" s="1"/>
  <c r="L347" i="2" s="1"/>
  <c r="M347" i="2" s="1"/>
  <c r="N347" i="2" s="1"/>
  <c r="O347" i="2" s="1"/>
  <c r="E354" i="2"/>
  <c r="F354" i="2" s="1"/>
  <c r="G354" i="2" s="1"/>
  <c r="H354" i="2" s="1"/>
  <c r="I354" i="2" s="1"/>
  <c r="J354" i="2" s="1"/>
  <c r="K354" i="2" s="1"/>
  <c r="L354" i="2" s="1"/>
  <c r="M354" i="2" s="1"/>
  <c r="N354" i="2" s="1"/>
  <c r="O354" i="2" s="1"/>
  <c r="E349" i="2"/>
  <c r="F349" i="2" s="1"/>
  <c r="G349" i="2" s="1"/>
  <c r="H349" i="2" s="1"/>
  <c r="I349" i="2" s="1"/>
  <c r="J349" i="2" s="1"/>
  <c r="K349" i="2" s="1"/>
  <c r="L349" i="2" s="1"/>
  <c r="M349" i="2" s="1"/>
  <c r="N349" i="2" s="1"/>
  <c r="O349" i="2" s="1"/>
  <c r="P353" i="2"/>
  <c r="F352" i="2"/>
  <c r="P351" i="2"/>
  <c r="D343" i="2"/>
  <c r="E343" i="2" s="1"/>
  <c r="F343" i="2" s="1"/>
  <c r="G343" i="2" s="1"/>
  <c r="H343" i="2" s="1"/>
  <c r="I343" i="2" s="1"/>
  <c r="J343" i="2" s="1"/>
  <c r="K343" i="2" s="1"/>
  <c r="L343" i="2" s="1"/>
  <c r="M343" i="2" s="1"/>
  <c r="N343" i="2" s="1"/>
  <c r="O343" i="2" s="1"/>
  <c r="J101" i="2" l="1"/>
  <c r="L360" i="2"/>
  <c r="E348" i="2"/>
  <c r="F348" i="2" s="1"/>
  <c r="G348" i="2" s="1"/>
  <c r="H348" i="2" s="1"/>
  <c r="I348" i="2" s="1"/>
  <c r="J348" i="2" s="1"/>
  <c r="K348" i="2" s="1"/>
  <c r="L348" i="2" s="1"/>
  <c r="M348" i="2" s="1"/>
  <c r="N348" i="2" s="1"/>
  <c r="O348" i="2" s="1"/>
  <c r="E350" i="2"/>
  <c r="F350" i="2" s="1"/>
  <c r="G350" i="2" s="1"/>
  <c r="H350" i="2" s="1"/>
  <c r="I350" i="2" s="1"/>
  <c r="J350" i="2" s="1"/>
  <c r="K350" i="2" s="1"/>
  <c r="L350" i="2" s="1"/>
  <c r="M350" i="2" s="1"/>
  <c r="N350" i="2" s="1"/>
  <c r="O350" i="2" s="1"/>
  <c r="D344" i="2"/>
  <c r="E344" i="2" s="1"/>
  <c r="F344" i="2" s="1"/>
  <c r="G344" i="2" s="1"/>
  <c r="H344" i="2" s="1"/>
  <c r="I344" i="2" s="1"/>
  <c r="G352" i="2"/>
  <c r="P349" i="2"/>
  <c r="P347" i="2"/>
  <c r="P158" i="2" s="1"/>
  <c r="K101" i="2" l="1"/>
  <c r="M360" i="2"/>
  <c r="H352" i="2"/>
  <c r="P343" i="2"/>
  <c r="P150" i="2" s="1"/>
  <c r="J344" i="2"/>
  <c r="K344" i="2" s="1"/>
  <c r="L344" i="2" s="1"/>
  <c r="M344" i="2" s="1"/>
  <c r="N344" i="2" s="1"/>
  <c r="O344" i="2" s="1"/>
  <c r="L101" i="2" l="1"/>
  <c r="N360" i="2"/>
  <c r="I352" i="2"/>
  <c r="M101" i="2" l="1"/>
  <c r="O360" i="2"/>
  <c r="O101" i="2" s="1"/>
  <c r="J352" i="2"/>
  <c r="N101" i="2" l="1"/>
  <c r="K352" i="2"/>
  <c r="L352" i="2" l="1"/>
  <c r="M352" i="2" s="1"/>
  <c r="N352" i="2" s="1"/>
  <c r="O352" i="2" s="1"/>
  <c r="T132" i="2" l="1"/>
  <c r="B15" i="5" s="1"/>
  <c r="P163" i="2" l="1"/>
  <c r="T163" i="2" s="1"/>
  <c r="B41" i="5" s="1"/>
  <c r="Q141" i="2"/>
  <c r="T141" i="2" s="1"/>
  <c r="B23" i="5" s="1"/>
  <c r="Q69" i="2"/>
  <c r="P68" i="2"/>
  <c r="Q62" i="2"/>
  <c r="Q180" i="2" s="1"/>
  <c r="T180" i="2" s="1"/>
  <c r="B59" i="5" s="1"/>
  <c r="P61" i="2"/>
  <c r="Q51" i="2"/>
  <c r="Q168" i="2" s="1"/>
  <c r="T168" i="2" s="1"/>
  <c r="B46" i="5" s="1"/>
  <c r="Q52" i="2"/>
  <c r="Q169" i="2" s="1"/>
  <c r="T169" i="2" s="1"/>
  <c r="B47" i="5" s="1"/>
  <c r="Q53" i="2"/>
  <c r="Q171" i="2" s="1"/>
  <c r="T171" i="2" s="1"/>
  <c r="B50" i="5" s="1"/>
  <c r="Q54" i="2"/>
  <c r="Q55" i="2"/>
  <c r="Q56" i="2"/>
  <c r="Q57" i="2"/>
  <c r="Q175" i="2" s="1"/>
  <c r="T175" i="2" s="1"/>
  <c r="B54" i="5" s="1"/>
  <c r="Q58" i="2"/>
  <c r="Q176" i="2" s="1"/>
  <c r="T176" i="2" s="1"/>
  <c r="B55" i="5" s="1"/>
  <c r="Q50" i="2"/>
  <c r="Q167" i="2" s="1"/>
  <c r="T167" i="2" s="1"/>
  <c r="B45" i="5" s="1"/>
  <c r="P49" i="2"/>
  <c r="P43" i="2"/>
  <c r="P44" i="2"/>
  <c r="P45" i="2"/>
  <c r="P46" i="2"/>
  <c r="P47" i="2"/>
  <c r="P48" i="2"/>
  <c r="P42" i="2"/>
  <c r="Q170" i="2" l="1"/>
  <c r="T170" i="2" s="1"/>
  <c r="B49" i="5" s="1"/>
  <c r="R70" i="2"/>
  <c r="E129" i="2"/>
  <c r="F129" i="2"/>
  <c r="G129" i="2"/>
  <c r="H129" i="2"/>
  <c r="I129" i="2"/>
  <c r="J129" i="2"/>
  <c r="K129" i="2"/>
  <c r="L129" i="2"/>
  <c r="M129" i="2"/>
  <c r="N129" i="2"/>
  <c r="O129" i="2"/>
  <c r="D129" i="2"/>
  <c r="D341" i="2"/>
  <c r="E341" i="2" s="1"/>
  <c r="F341" i="2" s="1"/>
  <c r="G341" i="2" s="1"/>
  <c r="H341" i="2" s="1"/>
  <c r="I341" i="2" s="1"/>
  <c r="J341" i="2" s="1"/>
  <c r="K341" i="2" s="1"/>
  <c r="L341" i="2" s="1"/>
  <c r="M341" i="2" s="1"/>
  <c r="N341" i="2" s="1"/>
  <c r="O341" i="2" s="1"/>
  <c r="D339" i="2"/>
  <c r="D340" i="2" s="1"/>
  <c r="D333" i="2"/>
  <c r="D334" i="2" s="1"/>
  <c r="P129" i="2" l="1"/>
  <c r="T129" i="2" s="1"/>
  <c r="B14" i="5" s="1"/>
  <c r="D342" i="2"/>
  <c r="E342" i="2" s="1"/>
  <c r="F342" i="2" s="1"/>
  <c r="G342" i="2" s="1"/>
  <c r="H342" i="2" s="1"/>
  <c r="I342" i="2" s="1"/>
  <c r="J342" i="2" s="1"/>
  <c r="K342" i="2" s="1"/>
  <c r="L342" i="2" s="1"/>
  <c r="M342" i="2" s="1"/>
  <c r="N342" i="2" s="1"/>
  <c r="O342" i="2" s="1"/>
  <c r="E339" i="2"/>
  <c r="F339" i="2" s="1"/>
  <c r="G339" i="2" s="1"/>
  <c r="H339" i="2" s="1"/>
  <c r="I339" i="2" s="1"/>
  <c r="J339" i="2" s="1"/>
  <c r="K339" i="2" s="1"/>
  <c r="L339" i="2" s="1"/>
  <c r="M339" i="2" s="1"/>
  <c r="N339" i="2" s="1"/>
  <c r="O339" i="2" s="1"/>
  <c r="E333" i="2"/>
  <c r="F333" i="2" s="1"/>
  <c r="G333" i="2" s="1"/>
  <c r="H333" i="2" s="1"/>
  <c r="I333" i="2" s="1"/>
  <c r="J333" i="2" s="1"/>
  <c r="K333" i="2" s="1"/>
  <c r="L333" i="2" s="1"/>
  <c r="M333" i="2" s="1"/>
  <c r="N333" i="2" s="1"/>
  <c r="O333" i="2" s="1"/>
  <c r="E334" i="2" l="1"/>
  <c r="F334" i="2" s="1"/>
  <c r="G334" i="2" s="1"/>
  <c r="H334" i="2" s="1"/>
  <c r="I334" i="2" s="1"/>
  <c r="J334" i="2" s="1"/>
  <c r="K334" i="2" s="1"/>
  <c r="L334" i="2" s="1"/>
  <c r="M334" i="2" s="1"/>
  <c r="N334" i="2" s="1"/>
  <c r="O334" i="2" s="1"/>
  <c r="E340" i="2"/>
  <c r="F340" i="2" s="1"/>
  <c r="G340" i="2" s="1"/>
  <c r="H340" i="2" s="1"/>
  <c r="I340" i="2" s="1"/>
  <c r="J340" i="2" s="1"/>
  <c r="K340" i="2" s="1"/>
  <c r="L340" i="2" s="1"/>
  <c r="M340" i="2" s="1"/>
  <c r="N340" i="2" s="1"/>
  <c r="O340" i="2" s="1"/>
  <c r="P341" i="2"/>
  <c r="P339" i="2"/>
  <c r="P333" i="2"/>
  <c r="P126" i="2" s="1"/>
  <c r="Q34" i="2" l="1"/>
  <c r="Q152" i="2" s="1"/>
  <c r="T152" i="2" s="1"/>
  <c r="B33" i="5" s="1"/>
  <c r="P32" i="2"/>
  <c r="Q23" i="2"/>
  <c r="Q140" i="2" s="1"/>
  <c r="T140" i="2" s="1"/>
  <c r="B21" i="5" s="1"/>
  <c r="Q24" i="2"/>
  <c r="Q142" i="2" s="1"/>
  <c r="Q25" i="2"/>
  <c r="Q26" i="2"/>
  <c r="Q27" i="2"/>
  <c r="Q28" i="2"/>
  <c r="Q146" i="2" s="1"/>
  <c r="T146" i="2" s="1"/>
  <c r="B28" i="5" s="1"/>
  <c r="Q29" i="2"/>
  <c r="Q147" i="2" s="1"/>
  <c r="T147" i="2" s="1"/>
  <c r="B29" i="5" s="1"/>
  <c r="Q19" i="2"/>
  <c r="Q136" i="2" s="1"/>
  <c r="P9" i="2"/>
  <c r="P11" i="2"/>
  <c r="P12" i="2"/>
  <c r="P15" i="2"/>
  <c r="P16" i="2"/>
  <c r="P17" i="2"/>
  <c r="P18" i="2"/>
  <c r="P7" i="2"/>
  <c r="Q120" i="2"/>
  <c r="P120" i="2"/>
  <c r="D337" i="2"/>
  <c r="E337" i="2" s="1"/>
  <c r="F337" i="2" s="1"/>
  <c r="G337" i="2" s="1"/>
  <c r="H337" i="2" s="1"/>
  <c r="I337" i="2" s="1"/>
  <c r="J337" i="2" s="1"/>
  <c r="K337" i="2" s="1"/>
  <c r="L337" i="2" s="1"/>
  <c r="M337" i="2" s="1"/>
  <c r="N337" i="2" s="1"/>
  <c r="O337" i="2" s="1"/>
  <c r="Q138" i="2" l="1"/>
  <c r="T138" i="2" s="1"/>
  <c r="B20" i="5" s="1"/>
  <c r="T137" i="2"/>
  <c r="T136" i="2"/>
  <c r="T142" i="2"/>
  <c r="B24" i="5" s="1"/>
  <c r="E128" i="2"/>
  <c r="F128" i="2"/>
  <c r="G128" i="2"/>
  <c r="H128" i="2"/>
  <c r="I128" i="2"/>
  <c r="J128" i="2"/>
  <c r="K128" i="2"/>
  <c r="L128" i="2"/>
  <c r="M128" i="2"/>
  <c r="N128" i="2"/>
  <c r="O128" i="2"/>
  <c r="D128" i="2"/>
  <c r="O124" i="2"/>
  <c r="E124" i="2"/>
  <c r="F124" i="2"/>
  <c r="G124" i="2"/>
  <c r="H124" i="2"/>
  <c r="I124" i="2"/>
  <c r="J124" i="2"/>
  <c r="K124" i="2"/>
  <c r="L124" i="2"/>
  <c r="M124" i="2"/>
  <c r="N124" i="2"/>
  <c r="B19" i="5" l="1"/>
  <c r="P128" i="2"/>
  <c r="T128" i="2" s="1"/>
  <c r="B13" i="5" s="1"/>
  <c r="D124" i="2"/>
  <c r="A221" i="2"/>
  <c r="A223" i="2"/>
  <c r="A224" i="2"/>
  <c r="A226" i="2"/>
  <c r="D237" i="2"/>
  <c r="E237" i="2"/>
  <c r="F237" i="2"/>
  <c r="G237" i="2"/>
  <c r="H237" i="2"/>
  <c r="I237" i="2"/>
  <c r="J237" i="2"/>
  <c r="K237" i="2"/>
  <c r="L237" i="2"/>
  <c r="M237" i="2"/>
  <c r="N237" i="2"/>
  <c r="O237" i="2"/>
  <c r="D238" i="2"/>
  <c r="E238" i="2"/>
  <c r="F238" i="2"/>
  <c r="G238" i="2"/>
  <c r="H238" i="2"/>
  <c r="I238" i="2"/>
  <c r="J238" i="2"/>
  <c r="K238" i="2"/>
  <c r="L238" i="2"/>
  <c r="M238" i="2"/>
  <c r="N238" i="2"/>
  <c r="O238" i="2"/>
  <c r="D239" i="2"/>
  <c r="E239" i="2"/>
  <c r="F239" i="2"/>
  <c r="G239" i="2"/>
  <c r="H239" i="2"/>
  <c r="I239" i="2"/>
  <c r="J239" i="2"/>
  <c r="K239" i="2"/>
  <c r="L239" i="2"/>
  <c r="M239" i="2"/>
  <c r="N239" i="2"/>
  <c r="O239" i="2"/>
  <c r="D240" i="2"/>
  <c r="E240" i="2"/>
  <c r="F240" i="2"/>
  <c r="G240" i="2"/>
  <c r="H240" i="2"/>
  <c r="I240" i="2"/>
  <c r="J240" i="2"/>
  <c r="K240" i="2"/>
  <c r="L240" i="2"/>
  <c r="M240" i="2"/>
  <c r="N240" i="2"/>
  <c r="O240" i="2"/>
  <c r="D241" i="2"/>
  <c r="E241" i="2"/>
  <c r="F241" i="2"/>
  <c r="G241" i="2"/>
  <c r="H241" i="2"/>
  <c r="I241" i="2"/>
  <c r="J241" i="2"/>
  <c r="K241" i="2"/>
  <c r="L241" i="2"/>
  <c r="M241" i="2"/>
  <c r="N241" i="2"/>
  <c r="O241" i="2"/>
  <c r="D242" i="2"/>
  <c r="E242" i="2"/>
  <c r="F242" i="2"/>
  <c r="G242" i="2"/>
  <c r="H242" i="2"/>
  <c r="I242" i="2"/>
  <c r="J242" i="2"/>
  <c r="K242" i="2"/>
  <c r="L242" i="2"/>
  <c r="M242" i="2"/>
  <c r="N242" i="2"/>
  <c r="O242" i="2"/>
  <c r="D243" i="2"/>
  <c r="E243" i="2"/>
  <c r="F243" i="2"/>
  <c r="G243" i="2"/>
  <c r="H243" i="2"/>
  <c r="I243" i="2"/>
  <c r="J243" i="2"/>
  <c r="K243" i="2"/>
  <c r="L243" i="2"/>
  <c r="M243" i="2"/>
  <c r="N243" i="2"/>
  <c r="O243" i="2"/>
  <c r="D85" i="2" l="1"/>
  <c r="D218" i="2"/>
  <c r="P124" i="2"/>
  <c r="T124" i="2" s="1"/>
  <c r="B9" i="5" s="1"/>
  <c r="P240" i="2"/>
  <c r="T240" i="2" s="1"/>
  <c r="P241" i="2"/>
  <c r="T241" i="2" s="1"/>
  <c r="P242" i="2"/>
  <c r="P237" i="2"/>
  <c r="T237" i="2" s="1"/>
  <c r="B75" i="5" s="1"/>
  <c r="P243" i="2"/>
  <c r="T243" i="2" s="1"/>
  <c r="P239" i="2"/>
  <c r="T239" i="2" s="1"/>
  <c r="B81" i="5" s="1"/>
  <c r="P238" i="2"/>
  <c r="T238" i="2" s="1"/>
  <c r="B89" i="5" s="1"/>
  <c r="E97" i="2"/>
  <c r="F97" i="2"/>
  <c r="G97" i="2"/>
  <c r="H97" i="2"/>
  <c r="I97" i="2"/>
  <c r="J97" i="2"/>
  <c r="K97" i="2"/>
  <c r="L97" i="2"/>
  <c r="M97" i="2"/>
  <c r="N97" i="2"/>
  <c r="O97" i="2"/>
  <c r="D97" i="2"/>
  <c r="C94" i="2"/>
  <c r="C93" i="2" s="1"/>
  <c r="M288" i="2" s="1"/>
  <c r="E65" i="2"/>
  <c r="E203" i="2" s="1"/>
  <c r="F65" i="2"/>
  <c r="F203" i="2" s="1"/>
  <c r="G65" i="2"/>
  <c r="G203" i="2" s="1"/>
  <c r="H65" i="2"/>
  <c r="H203" i="2" s="1"/>
  <c r="I65" i="2"/>
  <c r="I203" i="2" s="1"/>
  <c r="J65" i="2"/>
  <c r="J203" i="2" s="1"/>
  <c r="K65" i="2"/>
  <c r="K203" i="2" s="1"/>
  <c r="L65" i="2"/>
  <c r="L203" i="2" s="1"/>
  <c r="M65" i="2"/>
  <c r="M203" i="2" s="1"/>
  <c r="N65" i="2"/>
  <c r="N203" i="2" s="1"/>
  <c r="O65" i="2"/>
  <c r="O203" i="2" s="1"/>
  <c r="E38" i="2"/>
  <c r="F38" i="2"/>
  <c r="G38" i="2"/>
  <c r="H38" i="2"/>
  <c r="I38" i="2"/>
  <c r="J38" i="2"/>
  <c r="K38" i="2"/>
  <c r="L38" i="2"/>
  <c r="M38" i="2"/>
  <c r="N38" i="2"/>
  <c r="O38" i="2"/>
  <c r="E70" i="2"/>
  <c r="F70" i="2"/>
  <c r="G70" i="2"/>
  <c r="H70" i="2"/>
  <c r="I70" i="2"/>
  <c r="J70" i="2"/>
  <c r="K70" i="2"/>
  <c r="L70" i="2"/>
  <c r="M70" i="2"/>
  <c r="N70" i="2"/>
  <c r="O70" i="2"/>
  <c r="D70" i="2"/>
  <c r="D65" i="2"/>
  <c r="D203" i="2" s="1"/>
  <c r="D38" i="2"/>
  <c r="D133" i="2" s="1"/>
  <c r="T242" i="2" l="1"/>
  <c r="B82" i="5" s="1"/>
  <c r="D150" i="2"/>
  <c r="E150" i="2" s="1"/>
  <c r="D179" i="2"/>
  <c r="E179" i="2" s="1"/>
  <c r="D151" i="2"/>
  <c r="E151" i="2" s="1"/>
  <c r="D164" i="2"/>
  <c r="D86" i="2"/>
  <c r="D88" i="2"/>
  <c r="D87" i="2"/>
  <c r="G288" i="2"/>
  <c r="L288" i="2"/>
  <c r="H288" i="2"/>
  <c r="K288" i="2"/>
  <c r="E288" i="2"/>
  <c r="O288" i="2"/>
  <c r="F288" i="2"/>
  <c r="N288" i="2"/>
  <c r="J288" i="2"/>
  <c r="D288" i="2"/>
  <c r="I288" i="2"/>
  <c r="B76" i="5"/>
  <c r="D127" i="2"/>
  <c r="E127" i="2" s="1"/>
  <c r="D126" i="2"/>
  <c r="D217" i="2" s="1"/>
  <c r="D158" i="2"/>
  <c r="G73" i="2"/>
  <c r="N73" i="2"/>
  <c r="F73" i="2"/>
  <c r="O73" i="2"/>
  <c r="D73" i="2"/>
  <c r="K73" i="2"/>
  <c r="L73" i="2"/>
  <c r="I73" i="2"/>
  <c r="J73" i="2"/>
  <c r="E73" i="2"/>
  <c r="H73" i="2"/>
  <c r="M73" i="2"/>
  <c r="E164" i="2" l="1"/>
  <c r="F164" i="2" s="1"/>
  <c r="O76" i="2"/>
  <c r="K76" i="2"/>
  <c r="L76" i="2"/>
  <c r="J76" i="2"/>
  <c r="N76" i="2"/>
  <c r="M76" i="2"/>
  <c r="H77" i="2"/>
  <c r="D77" i="2"/>
  <c r="L77" i="2"/>
  <c r="F77" i="2"/>
  <c r="O77" i="2"/>
  <c r="I77" i="2"/>
  <c r="K77" i="2"/>
  <c r="M77" i="2"/>
  <c r="N77" i="2"/>
  <c r="G77" i="2"/>
  <c r="J77" i="2"/>
  <c r="E77" i="2"/>
  <c r="I76" i="2"/>
  <c r="E76" i="2"/>
  <c r="I74" i="2"/>
  <c r="J74" i="2"/>
  <c r="E74" i="2"/>
  <c r="F74" i="2"/>
  <c r="O74" i="2"/>
  <c r="F76" i="2"/>
  <c r="N74" i="2"/>
  <c r="G76" i="2"/>
  <c r="K74" i="2"/>
  <c r="M74" i="2"/>
  <c r="H74" i="2"/>
  <c r="H76" i="2"/>
  <c r="L74" i="2"/>
  <c r="G74" i="2"/>
  <c r="P289" i="2"/>
  <c r="F150" i="2"/>
  <c r="G150" i="2" s="1"/>
  <c r="F151" i="2"/>
  <c r="G151" i="2" s="1"/>
  <c r="F179" i="2"/>
  <c r="G179" i="2" s="1"/>
  <c r="D219" i="2"/>
  <c r="D183" i="2"/>
  <c r="F127" i="2"/>
  <c r="G127" i="2" s="1"/>
  <c r="H127" i="2" s="1"/>
  <c r="E126" i="2"/>
  <c r="E158" i="2"/>
  <c r="G164" i="2" l="1"/>
  <c r="H164" i="2" s="1"/>
  <c r="T111" i="2"/>
  <c r="T104" i="2"/>
  <c r="T103" i="2" s="1"/>
  <c r="I104" i="2"/>
  <c r="T113" i="2"/>
  <c r="O104" i="2"/>
  <c r="H150" i="2"/>
  <c r="I150" i="2" s="1"/>
  <c r="H179" i="2"/>
  <c r="I179" i="2" s="1"/>
  <c r="H151" i="2"/>
  <c r="I151" i="2" s="1"/>
  <c r="I127" i="2"/>
  <c r="J127" i="2" s="1"/>
  <c r="K127" i="2" s="1"/>
  <c r="D185" i="2"/>
  <c r="F126" i="2"/>
  <c r="F158" i="2"/>
  <c r="G158" i="2" s="1"/>
  <c r="I164" i="2" l="1"/>
  <c r="J164" i="2" s="1"/>
  <c r="K164" i="2" s="1"/>
  <c r="L164" i="2" s="1"/>
  <c r="M164" i="2" s="1"/>
  <c r="N164" i="2" s="1"/>
  <c r="O381" i="2"/>
  <c r="T114" i="2"/>
  <c r="P113" i="2"/>
  <c r="Q113" i="2" s="1"/>
  <c r="T112" i="2"/>
  <c r="I381" i="2"/>
  <c r="J151" i="2"/>
  <c r="J179" i="2"/>
  <c r="K179" i="2" s="1"/>
  <c r="L179" i="2" s="1"/>
  <c r="J150" i="2"/>
  <c r="L127" i="2"/>
  <c r="G126" i="2"/>
  <c r="H158" i="2"/>
  <c r="I158" i="2" s="1"/>
  <c r="D338" i="2"/>
  <c r="O164" i="2" l="1"/>
  <c r="P164" i="2" s="1"/>
  <c r="M179" i="2"/>
  <c r="N179" i="2" s="1"/>
  <c r="O179" i="2" s="1"/>
  <c r="K150" i="2"/>
  <c r="L150" i="2" s="1"/>
  <c r="K151" i="2"/>
  <c r="H126" i="2"/>
  <c r="I126" i="2" s="1"/>
  <c r="M127" i="2"/>
  <c r="N127" i="2" s="1"/>
  <c r="O127" i="2" s="1"/>
  <c r="T127" i="2" s="1"/>
  <c r="J158" i="2"/>
  <c r="K158" i="2" s="1"/>
  <c r="P232" i="2"/>
  <c r="T232" i="2" s="1"/>
  <c r="B80" i="5" s="1"/>
  <c r="E34" i="3"/>
  <c r="F34" i="3" l="1"/>
  <c r="M150" i="2"/>
  <c r="N150" i="2" s="1"/>
  <c r="L151" i="2"/>
  <c r="J126" i="2"/>
  <c r="T179" i="2"/>
  <c r="B58" i="5" s="1"/>
  <c r="L158" i="2"/>
  <c r="M158" i="2" s="1"/>
  <c r="E338" i="2"/>
  <c r="E133" i="2" s="1"/>
  <c r="G34" i="3" l="1"/>
  <c r="E183" i="2"/>
  <c r="E185" i="2" s="1"/>
  <c r="O150" i="2"/>
  <c r="M151" i="2"/>
  <c r="N151" i="2" s="1"/>
  <c r="O151" i="2" s="1"/>
  <c r="K126" i="2"/>
  <c r="N158" i="2"/>
  <c r="O158" i="2" s="1"/>
  <c r="T158" i="2" s="1"/>
  <c r="B36" i="5" s="1"/>
  <c r="F338" i="2"/>
  <c r="F133" i="2" s="1"/>
  <c r="D329" i="2"/>
  <c r="D281" i="2" s="1"/>
  <c r="D321" i="2"/>
  <c r="D277" i="2" s="1"/>
  <c r="D325" i="2"/>
  <c r="D279" i="2" s="1"/>
  <c r="D323" i="2"/>
  <c r="D278" i="2" s="1"/>
  <c r="H34" i="3" l="1"/>
  <c r="E217" i="2"/>
  <c r="F217" i="2"/>
  <c r="T151" i="2"/>
  <c r="L126" i="2"/>
  <c r="T150" i="2"/>
  <c r="E329" i="2"/>
  <c r="P320" i="2"/>
  <c r="P328" i="2"/>
  <c r="E321" i="2"/>
  <c r="E323" i="2"/>
  <c r="E325" i="2"/>
  <c r="E279" i="2" s="1"/>
  <c r="P322" i="2"/>
  <c r="P324" i="2"/>
  <c r="I34" i="3" l="1"/>
  <c r="F323" i="2"/>
  <c r="E278" i="2"/>
  <c r="F321" i="2"/>
  <c r="E277" i="2"/>
  <c r="F329" i="2"/>
  <c r="F281" i="2" s="1"/>
  <c r="E281" i="2"/>
  <c r="F183" i="2"/>
  <c r="F185" i="2" s="1"/>
  <c r="B32" i="5"/>
  <c r="M126" i="2"/>
  <c r="F325" i="2"/>
  <c r="F279" i="2" s="1"/>
  <c r="J34" i="3" l="1"/>
  <c r="G329" i="2"/>
  <c r="G321" i="2"/>
  <c r="F277" i="2"/>
  <c r="G323" i="2"/>
  <c r="F278" i="2"/>
  <c r="N126" i="2"/>
  <c r="G325" i="2"/>
  <c r="G279" i="2" s="1"/>
  <c r="K34" i="3" l="1"/>
  <c r="H323" i="2"/>
  <c r="G278" i="2"/>
  <c r="H321" i="2"/>
  <c r="G277" i="2"/>
  <c r="H329" i="2"/>
  <c r="G281" i="2"/>
  <c r="O126" i="2"/>
  <c r="H325" i="2"/>
  <c r="H279" i="2" s="1"/>
  <c r="L34" i="3" l="1"/>
  <c r="I329" i="2"/>
  <c r="H281" i="2"/>
  <c r="I321" i="2"/>
  <c r="H277" i="2"/>
  <c r="I323" i="2"/>
  <c r="H278" i="2"/>
  <c r="I325" i="2"/>
  <c r="I279" i="2" s="1"/>
  <c r="O5" i="3"/>
  <c r="M34" i="3" l="1"/>
  <c r="J323" i="2"/>
  <c r="I278" i="2"/>
  <c r="J321" i="2"/>
  <c r="I277" i="2"/>
  <c r="J329" i="2"/>
  <c r="I281" i="2"/>
  <c r="T126" i="2"/>
  <c r="B10" i="5" s="1"/>
  <c r="J325" i="2"/>
  <c r="J279" i="2" s="1"/>
  <c r="N34" i="3" l="1"/>
  <c r="K329" i="2"/>
  <c r="J281" i="2"/>
  <c r="K321" i="2"/>
  <c r="J277" i="2"/>
  <c r="K323" i="2"/>
  <c r="J278" i="2"/>
  <c r="K325" i="2"/>
  <c r="K279" i="2" s="1"/>
  <c r="O34" i="3" l="1"/>
  <c r="L323" i="2"/>
  <c r="K278" i="2"/>
  <c r="L321" i="2"/>
  <c r="K277" i="2"/>
  <c r="L329" i="2"/>
  <c r="K281" i="2"/>
  <c r="L325" i="2"/>
  <c r="L279" i="2" s="1"/>
  <c r="E6" i="3"/>
  <c r="G6" i="3" s="1"/>
  <c r="O326" i="2" l="1"/>
  <c r="O272" i="2" s="1"/>
  <c r="D326" i="2"/>
  <c r="D272" i="2" s="1"/>
  <c r="H326" i="2"/>
  <c r="H272" i="2" s="1"/>
  <c r="M326" i="2"/>
  <c r="M272" i="2" s="1"/>
  <c r="I326" i="2"/>
  <c r="I272" i="2" s="1"/>
  <c r="L326" i="2"/>
  <c r="L272" i="2" s="1"/>
  <c r="N326" i="2"/>
  <c r="N272" i="2" s="1"/>
  <c r="E326" i="2"/>
  <c r="G326" i="2"/>
  <c r="G272" i="2" s="1"/>
  <c r="J326" i="2"/>
  <c r="J272" i="2" s="1"/>
  <c r="F326" i="2"/>
  <c r="F272" i="2" s="1"/>
  <c r="K326" i="2"/>
  <c r="K272" i="2" s="1"/>
  <c r="M329" i="2"/>
  <c r="M281" i="2" s="1"/>
  <c r="L281" i="2"/>
  <c r="M321" i="2"/>
  <c r="M277" i="2" s="1"/>
  <c r="L277" i="2"/>
  <c r="M323" i="2"/>
  <c r="M278" i="2" s="1"/>
  <c r="L278" i="2"/>
  <c r="M325" i="2"/>
  <c r="M279" i="2" s="1"/>
  <c r="L274" i="2" l="1"/>
  <c r="L275" i="2" s="1"/>
  <c r="I274" i="2"/>
  <c r="I275" i="2" s="1"/>
  <c r="K274" i="2"/>
  <c r="K275" i="2"/>
  <c r="M274" i="2"/>
  <c r="M275" i="2" s="1"/>
  <c r="H274" i="2"/>
  <c r="H275" i="2"/>
  <c r="N274" i="2"/>
  <c r="N275" i="2" s="1"/>
  <c r="D274" i="2"/>
  <c r="D275" i="2" s="1"/>
  <c r="F274" i="2"/>
  <c r="F275" i="2" s="1"/>
  <c r="O274" i="2"/>
  <c r="O275" i="2" s="1"/>
  <c r="J274" i="2"/>
  <c r="J275" i="2" s="1"/>
  <c r="G274" i="2"/>
  <c r="G275" i="2" s="1"/>
  <c r="E272" i="2"/>
  <c r="N329" i="2"/>
  <c r="N281" i="2" s="1"/>
  <c r="N323" i="2"/>
  <c r="N278" i="2" s="1"/>
  <c r="N321" i="2"/>
  <c r="N277" i="2" s="1"/>
  <c r="N325" i="2"/>
  <c r="N279" i="2" s="1"/>
  <c r="D327" i="2"/>
  <c r="E327" i="2" s="1"/>
  <c r="P326" i="2"/>
  <c r="T236" i="2"/>
  <c r="B73" i="5" s="1"/>
  <c r="T235" i="2"/>
  <c r="B74" i="5" s="1"/>
  <c r="E274" i="2" l="1"/>
  <c r="E275" i="2" s="1"/>
  <c r="O325" i="2"/>
  <c r="O323" i="2"/>
  <c r="O321" i="2"/>
  <c r="D280" i="2"/>
  <c r="O329" i="2"/>
  <c r="D282" i="2" l="1"/>
  <c r="D284" i="2" s="1"/>
  <c r="O281" i="2"/>
  <c r="R281" i="2"/>
  <c r="R277" i="2"/>
  <c r="O277" i="2"/>
  <c r="R278" i="2"/>
  <c r="O278" i="2"/>
  <c r="R279" i="2"/>
  <c r="O279" i="2"/>
  <c r="F327" i="2"/>
  <c r="E280" i="2"/>
  <c r="D289" i="2"/>
  <c r="E282" i="2" l="1"/>
  <c r="E284" i="2" s="1"/>
  <c r="G327" i="2"/>
  <c r="F280" i="2"/>
  <c r="E289" i="2"/>
  <c r="F289" i="2" s="1"/>
  <c r="G289" i="2" s="1"/>
  <c r="H289" i="2" s="1"/>
  <c r="I289" i="2" s="1"/>
  <c r="J289" i="2" s="1"/>
  <c r="K289" i="2" s="1"/>
  <c r="L289" i="2" s="1"/>
  <c r="M289" i="2" s="1"/>
  <c r="N289" i="2" s="1"/>
  <c r="O289" i="2" s="1"/>
  <c r="F282" i="2" l="1"/>
  <c r="F284" i="2" s="1"/>
  <c r="H327" i="2"/>
  <c r="G280" i="2"/>
  <c r="G338" i="2"/>
  <c r="G133" i="2" s="1"/>
  <c r="G282" i="2" l="1"/>
  <c r="G284" i="2" s="1"/>
  <c r="I327" i="2"/>
  <c r="H280" i="2"/>
  <c r="G183" i="2"/>
  <c r="G185" i="2" s="1"/>
  <c r="H338" i="2"/>
  <c r="H133" i="2" s="1"/>
  <c r="D91" i="2"/>
  <c r="D111" i="2" s="1"/>
  <c r="H282" i="2" l="1"/>
  <c r="H284" i="2" s="1"/>
  <c r="J327" i="2"/>
  <c r="I280" i="2"/>
  <c r="G217" i="2"/>
  <c r="H183" i="2"/>
  <c r="H185" i="2" s="1"/>
  <c r="D98" i="2"/>
  <c r="I338" i="2"/>
  <c r="I133" i="2" s="1"/>
  <c r="I282" i="2" l="1"/>
  <c r="I284" i="2" s="1"/>
  <c r="K327" i="2"/>
  <c r="J280" i="2"/>
  <c r="H217" i="2"/>
  <c r="I217" i="2"/>
  <c r="J338" i="2"/>
  <c r="J133" i="2" s="1"/>
  <c r="J282" i="2" l="1"/>
  <c r="J284" i="2" s="1"/>
  <c r="L327" i="2"/>
  <c r="K280" i="2"/>
  <c r="I183" i="2"/>
  <c r="I185" i="2" s="1"/>
  <c r="J183" i="2"/>
  <c r="J185" i="2" s="1"/>
  <c r="K338" i="2"/>
  <c r="K133" i="2" s="1"/>
  <c r="K282" i="2" l="1"/>
  <c r="K284" i="2" s="1"/>
  <c r="M327" i="2"/>
  <c r="M280" i="2" s="1"/>
  <c r="L280" i="2"/>
  <c r="J217" i="2"/>
  <c r="L338" i="2"/>
  <c r="L133" i="2" s="1"/>
  <c r="L282" i="2" l="1"/>
  <c r="L284" i="2" s="1"/>
  <c r="M282" i="2"/>
  <c r="M284" i="2" s="1"/>
  <c r="N327" i="2"/>
  <c r="N280" i="2" s="1"/>
  <c r="L217" i="2"/>
  <c r="K183" i="2"/>
  <c r="K185" i="2" s="1"/>
  <c r="K217" i="2"/>
  <c r="M338" i="2"/>
  <c r="M133" i="2" s="1"/>
  <c r="N282" i="2" l="1"/>
  <c r="N284" i="2" s="1"/>
  <c r="O327" i="2"/>
  <c r="L183" i="2"/>
  <c r="L185" i="2" s="1"/>
  <c r="M217" i="2"/>
  <c r="O280" i="2" l="1"/>
  <c r="R280" i="2"/>
  <c r="R282" i="2" s="1"/>
  <c r="M183" i="2"/>
  <c r="M185" i="2" s="1"/>
  <c r="N338" i="2"/>
  <c r="O282" i="2" l="1"/>
  <c r="O284" i="2" s="1"/>
  <c r="N133" i="2"/>
  <c r="N217" i="2" s="1"/>
  <c r="C26" i="3"/>
  <c r="C25" i="3"/>
  <c r="C24" i="3"/>
  <c r="C23" i="3"/>
  <c r="C22" i="3"/>
  <c r="C21" i="3"/>
  <c r="C20" i="3"/>
  <c r="C19" i="3"/>
  <c r="T234" i="2"/>
  <c r="B72" i="5" s="1"/>
  <c r="T233" i="2"/>
  <c r="B71" i="5" s="1"/>
  <c r="F105" i="2" l="1"/>
  <c r="F107" i="2"/>
  <c r="F191" i="2"/>
  <c r="F106" i="2"/>
  <c r="F84" i="2"/>
  <c r="E107" i="2"/>
  <c r="E105" i="2"/>
  <c r="E106" i="2"/>
  <c r="P231" i="2"/>
  <c r="T231" i="2" s="1"/>
  <c r="B88" i="5" s="1"/>
  <c r="N183" i="2"/>
  <c r="N185" i="2" s="1"/>
  <c r="E191" i="2"/>
  <c r="E84" i="2"/>
  <c r="P337" i="2"/>
  <c r="O338" i="2"/>
  <c r="O133" i="2" s="1"/>
  <c r="P133" i="2" s="1"/>
  <c r="D19" i="3"/>
  <c r="E19" i="3" s="1"/>
  <c r="F19" i="3" s="1"/>
  <c r="G19" i="3" s="1"/>
  <c r="H19" i="3" s="1"/>
  <c r="I19" i="3" s="1"/>
  <c r="J19" i="3" s="1"/>
  <c r="K19" i="3" s="1"/>
  <c r="L19" i="3" s="1"/>
  <c r="M19" i="3" s="1"/>
  <c r="D20" i="3"/>
  <c r="E20" i="3" s="1"/>
  <c r="F20" i="3" s="1"/>
  <c r="G20" i="3" s="1"/>
  <c r="H20" i="3" s="1"/>
  <c r="I20" i="3" s="1"/>
  <c r="J20" i="3" s="1"/>
  <c r="K20" i="3" s="1"/>
  <c r="L20" i="3" s="1"/>
  <c r="M20" i="3" s="1"/>
  <c r="D21" i="3"/>
  <c r="E21" i="3" s="1"/>
  <c r="F21" i="3" s="1"/>
  <c r="G21" i="3" s="1"/>
  <c r="H21" i="3" s="1"/>
  <c r="I21" i="3" s="1"/>
  <c r="J21" i="3" s="1"/>
  <c r="K21" i="3" s="1"/>
  <c r="L21" i="3" s="1"/>
  <c r="M21" i="3" s="1"/>
  <c r="D22" i="3"/>
  <c r="E22" i="3" s="1"/>
  <c r="F22" i="3" s="1"/>
  <c r="G22" i="3" s="1"/>
  <c r="H22" i="3" s="1"/>
  <c r="I22" i="3" s="1"/>
  <c r="J22" i="3" s="1"/>
  <c r="K22" i="3" s="1"/>
  <c r="L22" i="3" s="1"/>
  <c r="M22" i="3" s="1"/>
  <c r="D23" i="3"/>
  <c r="E23" i="3" s="1"/>
  <c r="D24" i="3"/>
  <c r="E24" i="3" s="1"/>
  <c r="F24" i="3" s="1"/>
  <c r="G24" i="3" s="1"/>
  <c r="H24" i="3" s="1"/>
  <c r="I24" i="3" s="1"/>
  <c r="J24" i="3" s="1"/>
  <c r="K24" i="3" s="1"/>
  <c r="L24" i="3" s="1"/>
  <c r="M24" i="3" s="1"/>
  <c r="D25" i="3"/>
  <c r="E25" i="3" s="1"/>
  <c r="F25" i="3" s="1"/>
  <c r="G25" i="3" s="1"/>
  <c r="H25" i="3" s="1"/>
  <c r="I25" i="3" s="1"/>
  <c r="J25" i="3" s="1"/>
  <c r="K25" i="3" s="1"/>
  <c r="L25" i="3" s="1"/>
  <c r="M25" i="3" s="1"/>
  <c r="D26" i="3"/>
  <c r="E26" i="3" s="1"/>
  <c r="F26" i="3" s="1"/>
  <c r="G26" i="3" s="1"/>
  <c r="H26" i="3" s="1"/>
  <c r="I26" i="3" s="1"/>
  <c r="J26" i="3" s="1"/>
  <c r="K26" i="3" s="1"/>
  <c r="L26" i="3" s="1"/>
  <c r="M26" i="3" s="1"/>
  <c r="F85" i="2" l="1"/>
  <c r="F218" i="2"/>
  <c r="F219" i="2" s="1"/>
  <c r="G84" i="2"/>
  <c r="G191" i="2"/>
  <c r="G106" i="2"/>
  <c r="G107" i="2"/>
  <c r="G105" i="2"/>
  <c r="H106" i="2"/>
  <c r="H105" i="2"/>
  <c r="H107" i="2"/>
  <c r="H191" i="2"/>
  <c r="H84" i="2"/>
  <c r="B85" i="5"/>
  <c r="O217" i="2"/>
  <c r="E85" i="2"/>
  <c r="E218" i="2"/>
  <c r="E219" i="2" s="1"/>
  <c r="F23" i="3"/>
  <c r="G23" i="3" s="1"/>
  <c r="H23" i="3" s="1"/>
  <c r="I23" i="3" s="1"/>
  <c r="J23" i="3" s="1"/>
  <c r="K23" i="3" s="1"/>
  <c r="L23" i="3" s="1"/>
  <c r="M23" i="3" s="1"/>
  <c r="O183" i="2"/>
  <c r="F110" i="2"/>
  <c r="E110" i="2"/>
  <c r="D110" i="2"/>
  <c r="D305" i="2" s="1"/>
  <c r="G110" i="2" l="1"/>
  <c r="H110" i="2"/>
  <c r="H85" i="2"/>
  <c r="H218" i="2"/>
  <c r="H219" i="2" s="1"/>
  <c r="G218" i="2"/>
  <c r="G219" i="2" s="1"/>
  <c r="G85" i="2"/>
  <c r="I84" i="2"/>
  <c r="I191" i="2"/>
  <c r="F87" i="2"/>
  <c r="F88" i="2"/>
  <c r="F86" i="2"/>
  <c r="E88" i="2"/>
  <c r="E86" i="2"/>
  <c r="E87" i="2"/>
  <c r="O185" i="2"/>
  <c r="F91" i="2" l="1"/>
  <c r="J191" i="2"/>
  <c r="J105" i="2"/>
  <c r="J84" i="2"/>
  <c r="J107" i="2"/>
  <c r="J106" i="2"/>
  <c r="I85" i="2"/>
  <c r="I218" i="2"/>
  <c r="I219" i="2" s="1"/>
  <c r="G86" i="2"/>
  <c r="G88" i="2"/>
  <c r="G87" i="2"/>
  <c r="K191" i="2"/>
  <c r="K84" i="2"/>
  <c r="K105" i="2"/>
  <c r="K107" i="2"/>
  <c r="K106" i="2"/>
  <c r="H86" i="2"/>
  <c r="H87" i="2"/>
  <c r="H88" i="2"/>
  <c r="E91" i="2"/>
  <c r="E98" i="2" l="1"/>
  <c r="E111" i="2"/>
  <c r="F98" i="2"/>
  <c r="F111" i="2"/>
  <c r="F305" i="2"/>
  <c r="J110" i="2"/>
  <c r="H91" i="2"/>
  <c r="K110" i="2"/>
  <c r="L107" i="2"/>
  <c r="L105" i="2"/>
  <c r="L106" i="2"/>
  <c r="L84" i="2"/>
  <c r="L191" i="2"/>
  <c r="G91" i="2"/>
  <c r="G111" i="2" s="1"/>
  <c r="K85" i="2"/>
  <c r="K218" i="2"/>
  <c r="K219" i="2" s="1"/>
  <c r="I87" i="2"/>
  <c r="I86" i="2"/>
  <c r="I88" i="2"/>
  <c r="J218" i="2"/>
  <c r="J219" i="2" s="1"/>
  <c r="J85" i="2"/>
  <c r="E305" i="2"/>
  <c r="P229" i="2"/>
  <c r="T229" i="2" s="1"/>
  <c r="B83" i="5" s="1"/>
  <c r="H98" i="2" l="1"/>
  <c r="H111" i="2"/>
  <c r="H305" i="2"/>
  <c r="L110" i="2"/>
  <c r="M105" i="2"/>
  <c r="M107" i="2"/>
  <c r="M191" i="2"/>
  <c r="M84" i="2"/>
  <c r="M106" i="2"/>
  <c r="K86" i="2"/>
  <c r="K88" i="2"/>
  <c r="K87" i="2"/>
  <c r="G305" i="2"/>
  <c r="G98" i="2"/>
  <c r="I91" i="2"/>
  <c r="N84" i="2"/>
  <c r="N107" i="2"/>
  <c r="N105" i="2"/>
  <c r="N191" i="2"/>
  <c r="N106" i="2"/>
  <c r="J88" i="2"/>
  <c r="J87" i="2"/>
  <c r="J86" i="2"/>
  <c r="L85" i="2"/>
  <c r="L218" i="2"/>
  <c r="L219" i="2" s="1"/>
  <c r="B86" i="5"/>
  <c r="B87" i="5"/>
  <c r="F193" i="2"/>
  <c r="N193" i="2"/>
  <c r="D76" i="2"/>
  <c r="G193" i="2"/>
  <c r="K193" i="2"/>
  <c r="H193" i="2"/>
  <c r="H75" i="2"/>
  <c r="J193" i="2"/>
  <c r="M193" i="2"/>
  <c r="K75" i="2"/>
  <c r="O75" i="2"/>
  <c r="G75" i="2"/>
  <c r="L75" i="2"/>
  <c r="D74" i="2"/>
  <c r="D75" i="2" s="1"/>
  <c r="N75" i="2"/>
  <c r="E193" i="2"/>
  <c r="I75" i="2"/>
  <c r="M75" i="2"/>
  <c r="E75" i="2"/>
  <c r="P73" i="2"/>
  <c r="P74" i="2" s="1"/>
  <c r="L193" i="2"/>
  <c r="J75" i="2"/>
  <c r="F75" i="2"/>
  <c r="I98" i="2" l="1"/>
  <c r="I111" i="2"/>
  <c r="J91" i="2"/>
  <c r="N110" i="2"/>
  <c r="G78" i="2"/>
  <c r="E78" i="2"/>
  <c r="O78" i="2"/>
  <c r="H78" i="2"/>
  <c r="L78" i="2"/>
  <c r="M78" i="2"/>
  <c r="J78" i="2"/>
  <c r="F78" i="2"/>
  <c r="I78" i="2"/>
  <c r="N78" i="2"/>
  <c r="K78" i="2"/>
  <c r="L86" i="2"/>
  <c r="L88" i="2"/>
  <c r="L87" i="2"/>
  <c r="O84" i="2"/>
  <c r="O191" i="2"/>
  <c r="N85" i="2"/>
  <c r="N218" i="2"/>
  <c r="N219" i="2" s="1"/>
  <c r="M218" i="2"/>
  <c r="M219" i="2" s="1"/>
  <c r="M85" i="2"/>
  <c r="K91" i="2"/>
  <c r="K111" i="2" s="1"/>
  <c r="M110" i="2"/>
  <c r="N197" i="2"/>
  <c r="N364" i="2"/>
  <c r="M197" i="2"/>
  <c r="M364" i="2"/>
  <c r="K197" i="2"/>
  <c r="K364" i="2"/>
  <c r="J197" i="2"/>
  <c r="J364" i="2"/>
  <c r="L197" i="2"/>
  <c r="L364" i="2"/>
  <c r="G197" i="2"/>
  <c r="G370" i="2" s="1"/>
  <c r="G364" i="2"/>
  <c r="E197" i="2"/>
  <c r="E226" i="2" s="1"/>
  <c r="E364" i="2"/>
  <c r="F197" i="2"/>
  <c r="F226" i="2" s="1"/>
  <c r="F364" i="2"/>
  <c r="H197" i="2"/>
  <c r="H370" i="2" s="1"/>
  <c r="H364" i="2"/>
  <c r="B37" i="5"/>
  <c r="Q172" i="2"/>
  <c r="D204" i="2"/>
  <c r="D193" i="2"/>
  <c r="D78" i="2"/>
  <c r="F204" i="2"/>
  <c r="F208" i="2" s="1"/>
  <c r="H204" i="2"/>
  <c r="M204" i="2"/>
  <c r="M208" i="2" s="1"/>
  <c r="K190" i="2"/>
  <c r="K192" i="2" s="1"/>
  <c r="K204" i="2"/>
  <c r="J204" i="2"/>
  <c r="G204" i="2"/>
  <c r="G208" i="2" s="1"/>
  <c r="P230" i="2"/>
  <c r="T230" i="2" s="1"/>
  <c r="B84" i="5" s="1"/>
  <c r="N204" i="2"/>
  <c r="L204" i="2"/>
  <c r="E204" i="2"/>
  <c r="I103" i="2"/>
  <c r="M190" i="2"/>
  <c r="M192" i="2" s="1"/>
  <c r="J98" i="2" l="1"/>
  <c r="J111" i="2"/>
  <c r="J305" i="2"/>
  <c r="O380" i="2"/>
  <c r="O204" i="2" s="1"/>
  <c r="O218" i="2"/>
  <c r="O219" i="2" s="1"/>
  <c r="O85" i="2"/>
  <c r="M87" i="2"/>
  <c r="M86" i="2"/>
  <c r="M88" i="2"/>
  <c r="N88" i="2"/>
  <c r="N86" i="2"/>
  <c r="N87" i="2"/>
  <c r="K305" i="2"/>
  <c r="K98" i="2"/>
  <c r="L91" i="2"/>
  <c r="L111" i="2" s="1"/>
  <c r="I377" i="2"/>
  <c r="I198" i="2" s="1"/>
  <c r="I228" i="2" s="1"/>
  <c r="I105" i="2"/>
  <c r="I373" i="2" s="1"/>
  <c r="M226" i="2"/>
  <c r="M370" i="2"/>
  <c r="L226" i="2"/>
  <c r="L370" i="2"/>
  <c r="N226" i="2"/>
  <c r="N370" i="2"/>
  <c r="O364" i="2"/>
  <c r="J226" i="2"/>
  <c r="J370" i="2"/>
  <c r="K226" i="2"/>
  <c r="K370" i="2"/>
  <c r="G226" i="2"/>
  <c r="E370" i="2"/>
  <c r="I380" i="2"/>
  <c r="H226" i="2"/>
  <c r="F370" i="2"/>
  <c r="D364" i="2"/>
  <c r="I364" i="2" s="1"/>
  <c r="D197" i="2"/>
  <c r="D370" i="2" s="1"/>
  <c r="Q143" i="2"/>
  <c r="T143" i="2" s="1"/>
  <c r="B25" i="5" s="1"/>
  <c r="P183" i="2"/>
  <c r="B57" i="5"/>
  <c r="B38" i="5"/>
  <c r="B30" i="5"/>
  <c r="M195" i="2"/>
  <c r="M196" i="2"/>
  <c r="M194" i="2"/>
  <c r="K195" i="2"/>
  <c r="K196" i="2"/>
  <c r="K194" i="2"/>
  <c r="I108" i="2"/>
  <c r="I376" i="2" s="1"/>
  <c r="I106" i="2"/>
  <c r="I374" i="2" s="1"/>
  <c r="I107" i="2"/>
  <c r="I375" i="2" s="1"/>
  <c r="B56" i="5"/>
  <c r="F190" i="2"/>
  <c r="F192" i="2" s="1"/>
  <c r="N208" i="2"/>
  <c r="N210" i="2" s="1"/>
  <c r="N190" i="2"/>
  <c r="N192" i="2" s="1"/>
  <c r="K208" i="2"/>
  <c r="K210" i="2" s="1"/>
  <c r="E208" i="2"/>
  <c r="E210" i="2" s="1"/>
  <c r="L208" i="2"/>
  <c r="L214" i="2" s="1"/>
  <c r="E190" i="2"/>
  <c r="E192" i="2" s="1"/>
  <c r="H190" i="2"/>
  <c r="H192" i="2" s="1"/>
  <c r="T133" i="2"/>
  <c r="B16" i="5" s="1"/>
  <c r="T172" i="2"/>
  <c r="B51" i="5" s="1"/>
  <c r="T164" i="2"/>
  <c r="B42" i="5" s="1"/>
  <c r="H208" i="2"/>
  <c r="H210" i="2" s="1"/>
  <c r="O103" i="2"/>
  <c r="O377" i="2" s="1"/>
  <c r="O198" i="2" s="1"/>
  <c r="O228" i="2" s="1"/>
  <c r="T106" i="2"/>
  <c r="B31" i="5" s="1"/>
  <c r="Q145" i="2"/>
  <c r="T145" i="2" s="1"/>
  <c r="B27" i="5" s="1"/>
  <c r="T135" i="2"/>
  <c r="B18" i="5" s="1"/>
  <c r="L190" i="2"/>
  <c r="L192" i="2" s="1"/>
  <c r="Q174" i="2"/>
  <c r="T174" i="2" s="1"/>
  <c r="B53" i="5" s="1"/>
  <c r="T166" i="2"/>
  <c r="B44" i="5" s="1"/>
  <c r="G190" i="2"/>
  <c r="G192" i="2" s="1"/>
  <c r="J190" i="2"/>
  <c r="J192" i="2" s="1"/>
  <c r="J208" i="2"/>
  <c r="J214" i="2" s="1"/>
  <c r="Q173" i="2"/>
  <c r="T173" i="2" s="1"/>
  <c r="B52" i="5" s="1"/>
  <c r="T165" i="2"/>
  <c r="B43" i="5" s="1"/>
  <c r="Q144" i="2"/>
  <c r="T144" i="2" s="1"/>
  <c r="B26" i="5" s="1"/>
  <c r="T134" i="2"/>
  <c r="B17" i="5" s="1"/>
  <c r="M214" i="2"/>
  <c r="M210" i="2"/>
  <c r="G214" i="2"/>
  <c r="G210" i="2"/>
  <c r="F214" i="2"/>
  <c r="F210" i="2"/>
  <c r="D208" i="2"/>
  <c r="D190" i="2"/>
  <c r="D192" i="2" s="1"/>
  <c r="P103" i="2" l="1"/>
  <c r="N91" i="2"/>
  <c r="M91" i="2"/>
  <c r="M111" i="2" s="1"/>
  <c r="O88" i="2"/>
  <c r="O87" i="2"/>
  <c r="O86" i="2"/>
  <c r="L98" i="2"/>
  <c r="L305" i="2"/>
  <c r="P198" i="2"/>
  <c r="P228" i="2" s="1"/>
  <c r="K224" i="2"/>
  <c r="K369" i="2"/>
  <c r="K223" i="2"/>
  <c r="K368" i="2"/>
  <c r="M221" i="2"/>
  <c r="M367" i="2"/>
  <c r="M224" i="2"/>
  <c r="M369" i="2"/>
  <c r="M223" i="2"/>
  <c r="M368" i="2"/>
  <c r="K221" i="2"/>
  <c r="K367" i="2"/>
  <c r="O370" i="2"/>
  <c r="I370" i="2"/>
  <c r="B11" i="5"/>
  <c r="I365" i="2"/>
  <c r="I193" i="2" s="1"/>
  <c r="R103" i="2"/>
  <c r="B61" i="5"/>
  <c r="D226" i="2"/>
  <c r="D196" i="2"/>
  <c r="D369" i="2" s="1"/>
  <c r="D195" i="2"/>
  <c r="D368" i="2" s="1"/>
  <c r="D194" i="2"/>
  <c r="D367" i="2" s="1"/>
  <c r="J196" i="2"/>
  <c r="J194" i="2"/>
  <c r="J195" i="2"/>
  <c r="L195" i="2"/>
  <c r="L196" i="2"/>
  <c r="L194" i="2"/>
  <c r="H196" i="2"/>
  <c r="H194" i="2"/>
  <c r="H195" i="2"/>
  <c r="G196" i="2"/>
  <c r="G194" i="2"/>
  <c r="G195" i="2"/>
  <c r="N195" i="2"/>
  <c r="N194" i="2"/>
  <c r="N196" i="2"/>
  <c r="F195" i="2"/>
  <c r="F196" i="2"/>
  <c r="F194" i="2"/>
  <c r="E195" i="2"/>
  <c r="E196" i="2"/>
  <c r="E194" i="2"/>
  <c r="T105" i="2"/>
  <c r="O107" i="2"/>
  <c r="O375" i="2" s="1"/>
  <c r="O108" i="2"/>
  <c r="O376" i="2" s="1"/>
  <c r="O106" i="2"/>
  <c r="O374" i="2" s="1"/>
  <c r="O105" i="2"/>
  <c r="O373" i="2" s="1"/>
  <c r="K214" i="2"/>
  <c r="N214" i="2"/>
  <c r="L210" i="2"/>
  <c r="E214" i="2"/>
  <c r="H214" i="2"/>
  <c r="J210" i="2"/>
  <c r="Q184" i="2"/>
  <c r="Q209" i="2" s="1"/>
  <c r="Q210" i="2" s="1"/>
  <c r="D214" i="2"/>
  <c r="D210" i="2"/>
  <c r="K199" i="2"/>
  <c r="M199" i="2"/>
  <c r="I110" i="2"/>
  <c r="I305" i="2" s="1"/>
  <c r="N305" i="2" l="1"/>
  <c r="N111" i="2"/>
  <c r="N98" i="2"/>
  <c r="O91" i="2"/>
  <c r="M305" i="2"/>
  <c r="M98" i="2"/>
  <c r="P105" i="2"/>
  <c r="Q104" i="2"/>
  <c r="T215" i="2" s="1"/>
  <c r="N224" i="2"/>
  <c r="N369" i="2"/>
  <c r="B12" i="5"/>
  <c r="B62" i="5" s="1"/>
  <c r="B60" i="5" s="1"/>
  <c r="O365" i="2"/>
  <c r="O193" i="2" s="1"/>
  <c r="N221" i="2"/>
  <c r="N367" i="2"/>
  <c r="L221" i="2"/>
  <c r="L367" i="2"/>
  <c r="J224" i="2"/>
  <c r="J369" i="2"/>
  <c r="K249" i="2"/>
  <c r="K395" i="2" s="1"/>
  <c r="K396" i="2" s="1"/>
  <c r="N223" i="2"/>
  <c r="N368" i="2"/>
  <c r="L224" i="2"/>
  <c r="L369" i="2"/>
  <c r="L223" i="2"/>
  <c r="L368" i="2"/>
  <c r="J223" i="2"/>
  <c r="J368" i="2"/>
  <c r="J221" i="2"/>
  <c r="J367" i="2"/>
  <c r="I190" i="2"/>
  <c r="I192" i="2" s="1"/>
  <c r="I197" i="2" s="1"/>
  <c r="I226" i="2" s="1"/>
  <c r="E224" i="2"/>
  <c r="E369" i="2"/>
  <c r="G223" i="2"/>
  <c r="G368" i="2"/>
  <c r="E221" i="2"/>
  <c r="E367" i="2"/>
  <c r="E223" i="2"/>
  <c r="E368" i="2"/>
  <c r="G221" i="2"/>
  <c r="G367" i="2"/>
  <c r="F221" i="2"/>
  <c r="F367" i="2"/>
  <c r="G224" i="2"/>
  <c r="G369" i="2"/>
  <c r="F224" i="2"/>
  <c r="F369" i="2"/>
  <c r="H223" i="2"/>
  <c r="H368" i="2"/>
  <c r="F223" i="2"/>
  <c r="F368" i="2"/>
  <c r="H221" i="2"/>
  <c r="H367" i="2"/>
  <c r="H224" i="2"/>
  <c r="H369" i="2"/>
  <c r="D221" i="2"/>
  <c r="D224" i="2"/>
  <c r="D223" i="2"/>
  <c r="R185" i="2"/>
  <c r="O110" i="2"/>
  <c r="F199" i="2"/>
  <c r="F200" i="2" s="1"/>
  <c r="H199" i="2"/>
  <c r="H200" i="2" s="1"/>
  <c r="P106" i="2"/>
  <c r="G199" i="2"/>
  <c r="G200" i="2" s="1"/>
  <c r="N199" i="2"/>
  <c r="J199" i="2"/>
  <c r="J200" i="2" s="1"/>
  <c r="E199" i="2"/>
  <c r="E200" i="2" s="1"/>
  <c r="L199" i="2"/>
  <c r="P107" i="2"/>
  <c r="P109" i="2"/>
  <c r="T228" i="2" s="1"/>
  <c r="P108" i="2"/>
  <c r="D199" i="2"/>
  <c r="K200" i="2"/>
  <c r="M249" i="2"/>
  <c r="M395" i="2" s="1"/>
  <c r="M396" i="2" s="1"/>
  <c r="M200" i="2"/>
  <c r="O98" i="2" l="1"/>
  <c r="O111" i="2"/>
  <c r="O305" i="2"/>
  <c r="P110" i="2"/>
  <c r="P193" i="2"/>
  <c r="O208" i="2"/>
  <c r="O190" i="2"/>
  <c r="O192" i="2" s="1"/>
  <c r="O197" i="2" s="1"/>
  <c r="O226" i="2" s="1"/>
  <c r="J249" i="2"/>
  <c r="J395" i="2" s="1"/>
  <c r="J396" i="2" s="1"/>
  <c r="O367" i="2"/>
  <c r="O368" i="2"/>
  <c r="O369" i="2"/>
  <c r="L249" i="2"/>
  <c r="L395" i="2" s="1"/>
  <c r="L396" i="2" s="1"/>
  <c r="N249" i="2"/>
  <c r="N395" i="2" s="1"/>
  <c r="N396" i="2" s="1"/>
  <c r="G249" i="2"/>
  <c r="G395" i="2" s="1"/>
  <c r="G396" i="2" s="1"/>
  <c r="E249" i="2"/>
  <c r="E395" i="2" s="1"/>
  <c r="E396" i="2" s="1"/>
  <c r="I367" i="2"/>
  <c r="I194" i="2" s="1"/>
  <c r="I221" i="2" s="1"/>
  <c r="I369" i="2"/>
  <c r="I196" i="2" s="1"/>
  <c r="F249" i="2"/>
  <c r="F395" i="2" s="1"/>
  <c r="F396" i="2" s="1"/>
  <c r="H249" i="2"/>
  <c r="H395" i="2" s="1"/>
  <c r="H396" i="2" s="1"/>
  <c r="I368" i="2"/>
  <c r="I195" i="2" s="1"/>
  <c r="L200" i="2"/>
  <c r="N200" i="2"/>
  <c r="D249" i="2"/>
  <c r="D395" i="2" s="1"/>
  <c r="D396" i="2" s="1"/>
  <c r="D200" i="2"/>
  <c r="O196" i="2" l="1"/>
  <c r="O224" i="2" s="1"/>
  <c r="O195" i="2"/>
  <c r="O223" i="2" s="1"/>
  <c r="O194" i="2"/>
  <c r="P194" i="2" s="1"/>
  <c r="P197" i="2"/>
  <c r="P226" i="2" s="1"/>
  <c r="O214" i="2"/>
  <c r="O210" i="2"/>
  <c r="I199" i="2"/>
  <c r="I200" i="2" s="1"/>
  <c r="I223" i="2"/>
  <c r="I224" i="2"/>
  <c r="D250" i="2"/>
  <c r="D252" i="2" s="1"/>
  <c r="T226" i="2" l="1"/>
  <c r="B68" i="5" s="1"/>
  <c r="O199" i="2"/>
  <c r="O200" i="2" s="1"/>
  <c r="O221" i="2"/>
  <c r="P221" i="2" s="1"/>
  <c r="P196" i="2"/>
  <c r="P195" i="2"/>
  <c r="P223" i="2" s="1"/>
  <c r="I249" i="2"/>
  <c r="D254" i="2"/>
  <c r="E250" i="2"/>
  <c r="E252" i="2" s="1"/>
  <c r="D257" i="2" l="1"/>
  <c r="D255" i="2"/>
  <c r="P224" i="2"/>
  <c r="T224" i="2" s="1"/>
  <c r="B66" i="5" s="1"/>
  <c r="O249" i="2"/>
  <c r="T221" i="2"/>
  <c r="T223" i="2"/>
  <c r="E254" i="2"/>
  <c r="F250" i="2"/>
  <c r="P250" i="2" l="1"/>
  <c r="F252" i="2"/>
  <c r="F254" i="2" s="1"/>
  <c r="E257" i="2"/>
  <c r="E255" i="2"/>
  <c r="O395" i="2"/>
  <c r="O396" i="2" s="1"/>
  <c r="B64" i="5"/>
  <c r="G250" i="2"/>
  <c r="G252" i="2" s="1"/>
  <c r="G254" i="2" s="1"/>
  <c r="D258" i="2"/>
  <c r="D259" i="2" s="1"/>
  <c r="D262" i="2" s="1"/>
  <c r="F255" i="2" l="1"/>
  <c r="G255" i="2" s="1"/>
  <c r="F257" i="2"/>
  <c r="G257" i="2" s="1"/>
  <c r="E258" i="2"/>
  <c r="E261" i="2" s="1"/>
  <c r="H250" i="2"/>
  <c r="H252" i="2" s="1"/>
  <c r="H254" i="2" s="1"/>
  <c r="D264" i="2"/>
  <c r="D261" i="2"/>
  <c r="E264" i="2" l="1"/>
  <c r="E265" i="2" s="1"/>
  <c r="E259" i="2"/>
  <c r="E262" i="2" s="1"/>
  <c r="H255" i="2"/>
  <c r="I250" i="2"/>
  <c r="F258" i="2"/>
  <c r="F264" i="2" s="1"/>
  <c r="F265" i="2" s="1"/>
  <c r="D265" i="2"/>
  <c r="D266" i="2"/>
  <c r="H257" i="2"/>
  <c r="G258" i="2"/>
  <c r="E266" i="2" l="1"/>
  <c r="F266" i="2" s="1"/>
  <c r="F259" i="2"/>
  <c r="F262" i="2" s="1"/>
  <c r="F261" i="2"/>
  <c r="J250" i="2"/>
  <c r="H258" i="2"/>
  <c r="H264" i="2" s="1"/>
  <c r="G261" i="2"/>
  <c r="G264" i="2"/>
  <c r="G259" i="2" l="1"/>
  <c r="G262" i="2" s="1"/>
  <c r="K250" i="2"/>
  <c r="G266" i="2"/>
  <c r="H266" i="2" s="1"/>
  <c r="H265" i="2"/>
  <c r="H261" i="2"/>
  <c r="G265" i="2"/>
  <c r="H259" i="2" l="1"/>
  <c r="H262" i="2" s="1"/>
  <c r="L250" i="2"/>
  <c r="M250" i="2" l="1"/>
  <c r="N250" i="2" l="1"/>
  <c r="O250" i="2" l="1"/>
  <c r="D286" i="2" l="1"/>
  <c r="D390" i="2"/>
  <c r="D287" i="2"/>
  <c r="D290" i="2" l="1"/>
  <c r="D292" i="2" s="1"/>
  <c r="D291" i="2" l="1"/>
  <c r="D295" i="2"/>
  <c r="D116" i="2" s="1"/>
  <c r="D118" i="2" s="1"/>
  <c r="D303" i="2"/>
  <c r="D304" i="2" s="1"/>
  <c r="D391" i="2"/>
  <c r="D297" i="2"/>
  <c r="D299" i="2" l="1"/>
  <c r="E286" i="2" l="1"/>
  <c r="E390" i="2" l="1"/>
  <c r="G286" i="2" l="1"/>
  <c r="G390" i="2"/>
  <c r="E287" i="2"/>
  <c r="E290" i="2" l="1"/>
  <c r="E292" i="2" s="1"/>
  <c r="F286" i="2"/>
  <c r="F390" i="2"/>
  <c r="H286" i="2"/>
  <c r="H390" i="2"/>
  <c r="E291" i="2" l="1"/>
  <c r="E295" i="2"/>
  <c r="E116" i="2" s="1"/>
  <c r="E118" i="2" s="1"/>
  <c r="E303" i="2"/>
  <c r="E304" i="2" s="1"/>
  <c r="E391" i="2"/>
  <c r="E297" i="2"/>
  <c r="E299" i="2" l="1"/>
  <c r="F287" i="2"/>
  <c r="G287" i="2"/>
  <c r="F290" i="2" l="1"/>
  <c r="F292" i="2" s="1"/>
  <c r="G290" i="2"/>
  <c r="G292" i="2" s="1"/>
  <c r="G303" i="2" s="1"/>
  <c r="H287" i="2"/>
  <c r="G291" i="2" l="1"/>
  <c r="F291" i="2"/>
  <c r="H290" i="2"/>
  <c r="H292" i="2" s="1"/>
  <c r="F295" i="2"/>
  <c r="F116" i="2" s="1"/>
  <c r="F118" i="2" s="1"/>
  <c r="F303" i="2"/>
  <c r="F391" i="2"/>
  <c r="G295" i="2"/>
  <c r="G116" i="2" s="1"/>
  <c r="G118" i="2" s="1"/>
  <c r="G391" i="2"/>
  <c r="G297" i="2"/>
  <c r="F297" i="2"/>
  <c r="H291" i="2" l="1"/>
  <c r="F299" i="2"/>
  <c r="G299" i="2"/>
  <c r="H391" i="2"/>
  <c r="H303" i="2"/>
  <c r="F304" i="2"/>
  <c r="H295" i="2"/>
  <c r="H116" i="2" s="1"/>
  <c r="H118" i="2" s="1"/>
  <c r="H297" i="2"/>
  <c r="H299" i="2" l="1"/>
  <c r="G304" i="2"/>
  <c r="H304" i="2" l="1"/>
  <c r="R311" i="2" l="1"/>
  <c r="B108" i="5" l="1"/>
  <c r="I204" i="2" l="1"/>
  <c r="I208" i="2" l="1"/>
  <c r="I210" i="2" s="1"/>
  <c r="P204" i="2"/>
  <c r="P214" i="2" s="1"/>
  <c r="I214" i="2" l="1"/>
  <c r="P252" i="2"/>
  <c r="P254" i="2" s="1"/>
  <c r="P208" i="2"/>
  <c r="P210" i="2" s="1"/>
  <c r="L252" i="2" l="1"/>
  <c r="L254" i="2" s="1"/>
  <c r="M252" i="2"/>
  <c r="M254" i="2" s="1"/>
  <c r="N252" i="2"/>
  <c r="N254" i="2" s="1"/>
  <c r="O252" i="2"/>
  <c r="O254" i="2" s="1"/>
  <c r="P257" i="2"/>
  <c r="P256" i="2"/>
  <c r="P255" i="2"/>
  <c r="I252" i="2"/>
  <c r="I254" i="2" s="1"/>
  <c r="I257" i="2" s="1"/>
  <c r="I395" i="2"/>
  <c r="I396" i="2" s="1"/>
  <c r="J252" i="2"/>
  <c r="J254" i="2" s="1"/>
  <c r="K252" i="2"/>
  <c r="K254" i="2" s="1"/>
  <c r="T214" i="2"/>
  <c r="T216" i="2" s="1"/>
  <c r="P259" i="2" l="1"/>
  <c r="P262" i="2" s="1"/>
  <c r="P266" i="2" s="1"/>
  <c r="I255" i="2"/>
  <c r="J255" i="2" s="1"/>
  <c r="J257" i="2"/>
  <c r="P277" i="2" l="1"/>
  <c r="K257" i="2"/>
  <c r="L257" i="2" s="1"/>
  <c r="M257" i="2" s="1"/>
  <c r="K255" i="2"/>
  <c r="L255" i="2" s="1"/>
  <c r="I258" i="2"/>
  <c r="J258" i="2"/>
  <c r="N257" i="2" l="1"/>
  <c r="O257" i="2" s="1"/>
  <c r="M255" i="2"/>
  <c r="N255" i="2" s="1"/>
  <c r="O255" i="2" s="1"/>
  <c r="T256" i="2"/>
  <c r="B79" i="5" s="1"/>
  <c r="K258" i="2"/>
  <c r="K264" i="2" s="1"/>
  <c r="K286" i="2" s="1"/>
  <c r="I259" i="2"/>
  <c r="I262" i="2" s="1"/>
  <c r="I264" i="2"/>
  <c r="I266" i="2" s="1"/>
  <c r="I261" i="2"/>
  <c r="L258" i="2"/>
  <c r="L261" i="2" s="1"/>
  <c r="J264" i="2"/>
  <c r="J265" i="2" s="1"/>
  <c r="J286" i="2" s="1"/>
  <c r="J261" i="2"/>
  <c r="J266" i="2" l="1"/>
  <c r="K266" i="2" s="1"/>
  <c r="K261" i="2"/>
  <c r="K390" i="2"/>
  <c r="K265" i="2"/>
  <c r="M258" i="2"/>
  <c r="M264" i="2" s="1"/>
  <c r="N258" i="2"/>
  <c r="L264" i="2"/>
  <c r="L286" i="2" s="1"/>
  <c r="T257" i="2"/>
  <c r="B77" i="5" s="1"/>
  <c r="I265" i="2"/>
  <c r="J259" i="2"/>
  <c r="J390" i="2"/>
  <c r="L266" i="2" l="1"/>
  <c r="M261" i="2"/>
  <c r="L265" i="2"/>
  <c r="L390" i="2"/>
  <c r="N261" i="2"/>
  <c r="N264" i="2"/>
  <c r="J262" i="2"/>
  <c r="K259" i="2"/>
  <c r="M390" i="2"/>
  <c r="M286" i="2"/>
  <c r="M265" i="2"/>
  <c r="M266" i="2" l="1"/>
  <c r="N266" i="2" s="1"/>
  <c r="O258" i="2"/>
  <c r="N265" i="2"/>
  <c r="I286" i="2"/>
  <c r="I390" i="2"/>
  <c r="K262" i="2"/>
  <c r="L259" i="2"/>
  <c r="M259" i="2" s="1"/>
  <c r="N259" i="2" s="1"/>
  <c r="I287" i="2"/>
  <c r="I290" i="2" l="1"/>
  <c r="I292" i="2" s="1"/>
  <c r="O259" i="2"/>
  <c r="O262" i="2" s="1"/>
  <c r="N262" i="2"/>
  <c r="T255" i="2"/>
  <c r="B70" i="5" s="1"/>
  <c r="B91" i="5" s="1"/>
  <c r="O261" i="2"/>
  <c r="O264" i="2"/>
  <c r="O266" i="2" s="1"/>
  <c r="J287" i="2"/>
  <c r="M262" i="2"/>
  <c r="L262" i="2"/>
  <c r="I291" i="2" l="1"/>
  <c r="J290" i="2"/>
  <c r="J292" i="2" s="1"/>
  <c r="J303" i="2" s="1"/>
  <c r="J309" i="2" s="1"/>
  <c r="O390" i="2"/>
  <c r="O265" i="2"/>
  <c r="O286" i="2"/>
  <c r="T262" i="2"/>
  <c r="N390" i="2"/>
  <c r="N286" i="2"/>
  <c r="I303" i="2"/>
  <c r="I391" i="2"/>
  <c r="I295" i="2"/>
  <c r="I116" i="2" s="1"/>
  <c r="I118" i="2" s="1"/>
  <c r="I297" i="2"/>
  <c r="K287" i="2"/>
  <c r="J308" i="2" l="1"/>
  <c r="I304" i="2"/>
  <c r="J291" i="2"/>
  <c r="K290" i="2"/>
  <c r="K292" i="2" s="1"/>
  <c r="I299" i="2"/>
  <c r="N287" i="2"/>
  <c r="J391" i="2"/>
  <c r="J295" i="2"/>
  <c r="J116" i="2" s="1"/>
  <c r="J118" i="2" s="1"/>
  <c r="J297" i="2"/>
  <c r="K291" i="2" l="1"/>
  <c r="N290" i="2"/>
  <c r="N292" i="2" s="1"/>
  <c r="J299" i="2"/>
  <c r="L287" i="2"/>
  <c r="O287" i="2"/>
  <c r="P278" i="2"/>
  <c r="T277" i="2"/>
  <c r="B93" i="5" s="1"/>
  <c r="J304" i="2"/>
  <c r="M287" i="2"/>
  <c r="K391" i="2"/>
  <c r="K303" i="2"/>
  <c r="K297" i="2"/>
  <c r="K295" i="2"/>
  <c r="K116" i="2" s="1"/>
  <c r="K118" i="2" s="1"/>
  <c r="N291" i="2" l="1"/>
  <c r="O290" i="2"/>
  <c r="O291" i="2" s="1"/>
  <c r="M290" i="2"/>
  <c r="M292" i="2" s="1"/>
  <c r="L290" i="2"/>
  <c r="L292" i="2" s="1"/>
  <c r="L391" i="2" s="1"/>
  <c r="N303" i="2"/>
  <c r="K299" i="2"/>
  <c r="T278" i="2"/>
  <c r="B95" i="5" s="1"/>
  <c r="P279" i="2"/>
  <c r="T279" i="2" s="1"/>
  <c r="K304" i="2"/>
  <c r="O292" i="2" l="1"/>
  <c r="O391" i="2" s="1"/>
  <c r="L291" i="2"/>
  <c r="M291" i="2"/>
  <c r="M303" i="2"/>
  <c r="M304" i="2" s="1"/>
  <c r="M295" i="2"/>
  <c r="M116" i="2" s="1"/>
  <c r="M118" i="2" s="1"/>
  <c r="M297" i="2"/>
  <c r="N295" i="2"/>
  <c r="N116" i="2" s="1"/>
  <c r="N118" i="2" s="1"/>
  <c r="N297" i="2"/>
  <c r="L303" i="2"/>
  <c r="L295" i="2"/>
  <c r="L116" i="2" s="1"/>
  <c r="L118" i="2" s="1"/>
  <c r="L297" i="2"/>
  <c r="P280" i="2"/>
  <c r="N391" i="2"/>
  <c r="N304" i="2"/>
  <c r="M391" i="2"/>
  <c r="L309" i="2" l="1"/>
  <c r="L308" i="2"/>
  <c r="M313" i="2" s="1"/>
  <c r="L304" i="2"/>
  <c r="O303" i="2"/>
  <c r="O304" i="2" s="1"/>
  <c r="O295" i="2"/>
  <c r="O116" i="2" s="1"/>
  <c r="O118" i="2" s="1"/>
  <c r="P118" i="2" s="1"/>
  <c r="O297" i="2"/>
  <c r="L299" i="2"/>
  <c r="M299" i="2"/>
  <c r="N299" i="2"/>
  <c r="T280" i="2"/>
  <c r="B98" i="5" s="1"/>
  <c r="B99" i="5" s="1"/>
  <c r="P281" i="2"/>
  <c r="T281" i="2" s="1"/>
  <c r="B100" i="5" s="1"/>
  <c r="P282" i="2" l="1"/>
  <c r="T282" i="2" s="1"/>
  <c r="O299" i="2"/>
  <c r="P283" i="2" l="1"/>
  <c r="P284" i="2" l="1"/>
  <c r="T283" i="2"/>
  <c r="B102" i="5"/>
  <c r="P287" i="2" l="1"/>
  <c r="T284" i="2"/>
  <c r="T287" i="2" l="1"/>
  <c r="B104" i="5" s="1"/>
  <c r="T290" i="2"/>
  <c r="B105" i="5" s="1"/>
  <c r="P290" i="2"/>
  <c r="P292" i="2" s="1"/>
  <c r="R310" i="2" s="1"/>
  <c r="R313" i="2" s="1"/>
  <c r="R287" i="2"/>
  <c r="P291" i="2" l="1"/>
  <c r="T291" i="2" s="1"/>
  <c r="B106" i="5" s="1"/>
  <c r="P295" i="2"/>
  <c r="P303" i="2"/>
  <c r="P304" i="2" s="1"/>
  <c r="T292" i="2"/>
  <c r="T299" i="2" s="1"/>
  <c r="B110" i="5" s="1"/>
  <c r="A110" i="5" s="1"/>
  <c r="P297" i="2"/>
  <c r="R314" i="2"/>
  <c r="R315" i="2"/>
  <c r="P313" i="2"/>
  <c r="P299" i="2" l="1"/>
  <c r="B107" i="5"/>
  <c r="R316" i="2"/>
  <c r="S316" i="2" s="1"/>
  <c r="P3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Leandro Plano</author>
  </authors>
  <commentList>
    <comment ref="B11" authorId="0" shapeId="0" xr:uid="{81723F5A-2BED-41FC-BCED-B031337D6B9E}">
      <text>
        <r>
          <rPr>
            <b/>
            <sz val="9"/>
            <color indexed="81"/>
            <rFont val="Tahoma"/>
            <family val="2"/>
          </rPr>
          <t xml:space="preserve">E- DEDUCCIONES PERSONALES
</t>
        </r>
        <r>
          <rPr>
            <b/>
            <u/>
            <sz val="10"/>
            <color indexed="81"/>
            <rFont val="Tahoma"/>
            <family val="2"/>
          </rPr>
          <t xml:space="preserve"> ZONAS DESFAVORABLES</t>
        </r>
        <r>
          <rPr>
            <b/>
            <sz val="9"/>
            <color indexed="81"/>
            <rFont val="Tahoma"/>
            <family val="2"/>
          </rPr>
          <t xml:space="preserve">
EMPLEADOS EN RELACIÓN DE DEPENDENCIA QUE TRABAJEN Y JUBILADOS QUE VIVAN EN LAS PROVINCIAS Y, EN SU CASO, PARTIDO A QUE HACEN MENCIÓN EL ARTÍCULO 1° DE LA LEY N° 23.272 Y SUS MODIFICACIONES. 
 ARTICULO 1° — A los efectos de las leyes, decretos, reglamentaciones, resoluciones y demás disposiciones legales del orden nacional, considérase a la provincia de La Pampa juntamente con las provinciales de Río Negro, Chubut, Neuquén, Santa Cruz, Tierra del Fuego, Antártida e Islas del Atlántico Sur y el partido de Patagones de la provincia de Buenos Aires.
✓  A efectos de determinar mensualmente si procede el cómputo de los importes incrementados en un 22%, en el caso de empleados que trabajen o jubilados que vivan </t>
        </r>
        <r>
          <rPr>
            <b/>
            <u/>
            <sz val="9"/>
            <color indexed="81"/>
            <rFont val="Tahoma"/>
            <family val="2"/>
          </rPr>
          <t>en más de una jurisdicción</t>
        </r>
        <r>
          <rPr>
            <b/>
            <sz val="9"/>
            <color indexed="81"/>
            <rFont val="Tahoma"/>
            <family val="2"/>
          </rPr>
          <t xml:space="preserve"> dentro del mismo período fiscal, y una de ellas sea una de las provincias -o partido- a que hace mención el Artículo 1° de la Ley N° 23.272 y sus modificaciones, deberán observarse las siguientes </t>
        </r>
        <r>
          <rPr>
            <b/>
            <u/>
            <sz val="9"/>
            <color indexed="81"/>
            <rFont val="Tahoma"/>
            <family val="2"/>
          </rPr>
          <t>pautas</t>
        </r>
        <r>
          <rPr>
            <b/>
            <sz val="9"/>
            <color indexed="81"/>
            <rFont val="Tahoma"/>
            <family val="2"/>
          </rPr>
          <t xml:space="preserve">:  
a) En el caso de </t>
        </r>
        <r>
          <rPr>
            <b/>
            <u/>
            <sz val="9"/>
            <color indexed="81"/>
            <rFont val="Tahoma"/>
            <family val="2"/>
          </rPr>
          <t>empleados</t>
        </r>
        <r>
          <rPr>
            <b/>
            <sz val="9"/>
            <color indexed="81"/>
            <rFont val="Tahoma"/>
            <family val="2"/>
          </rPr>
          <t xml:space="preserve">, deberá considerarse como lugar de trabajo aquél en que al momento de efectuar la retención se desempeñe durante la mayor cantidad de días contados desde el inicio del período fiscal.  
b) De tratarse de </t>
        </r>
        <r>
          <rPr>
            <b/>
            <u/>
            <sz val="9"/>
            <color indexed="81"/>
            <rFont val="Tahoma"/>
            <family val="2"/>
          </rPr>
          <t>jubilados</t>
        </r>
        <r>
          <rPr>
            <b/>
            <sz val="9"/>
            <color indexed="81"/>
            <rFont val="Tahoma"/>
            <family val="2"/>
          </rPr>
          <t>, se considerará que vive en la provincia en la cual percibe sus haberes jubilatorios.  
c) Cuando se cumplan ambas condiciones -</t>
        </r>
        <r>
          <rPr>
            <b/>
            <u/>
            <sz val="9"/>
            <color indexed="81"/>
            <rFont val="Tahoma"/>
            <family val="2"/>
          </rPr>
          <t>jubilado y empleado en relación de dependencia</t>
        </r>
        <r>
          <rPr>
            <b/>
            <sz val="9"/>
            <color indexed="81"/>
            <rFont val="Tahoma"/>
            <family val="2"/>
          </rPr>
          <t xml:space="preserve">-, deberá considerarse aquélla en la cual perciba los mayores ingresos.  
✓  En la liquidación anual o final, a efectos del cómputo de las deducciones incrementadas (22%), deberán verificarse las </t>
        </r>
        <r>
          <rPr>
            <b/>
            <u/>
            <sz val="9"/>
            <color indexed="81"/>
            <rFont val="Tahoma"/>
            <family val="2"/>
          </rPr>
          <t xml:space="preserve">condiciones </t>
        </r>
        <r>
          <rPr>
            <b/>
            <sz val="9"/>
            <color indexed="81"/>
            <rFont val="Tahoma"/>
            <family val="2"/>
          </rPr>
          <t xml:space="preserve">referidas en los incisos del párrafo precedente </t>
        </r>
        <r>
          <rPr>
            <b/>
            <u/>
            <sz val="9"/>
            <color indexed="81"/>
            <rFont val="Tahoma"/>
            <family val="2"/>
          </rPr>
          <t>en la mayor cantidad de meses del período fiscal</t>
        </r>
        <r>
          <rPr>
            <b/>
            <sz val="9"/>
            <color indexed="81"/>
            <rFont val="Tahoma"/>
            <family val="2"/>
          </rPr>
          <t xml:space="preserve"> que se liquida.
</t>
        </r>
      </text>
    </comment>
    <comment ref="B18" authorId="0" shapeId="0" xr:uid="{9A37CD9B-0B73-458C-A5E7-C48CE3A05F02}">
      <text>
        <r>
          <rPr>
            <sz val="9"/>
            <color indexed="81"/>
            <rFont val="Tahoma"/>
            <family val="2"/>
          </rPr>
          <t xml:space="preserve">La reglamentación establecerá el método para determinar los contribuyentes
alcanzados por este artículo y la forma de cálculo de la deducción especial prevista en el
párrafo anterior.
En ningún caso el cómputo de la deducción especial prevista en el presente artículo
dará lugar a la devolución de sumas retenidas y/o ingresadas en concepto de impuesto a las
ganancias por los contribuyentes alcanzados por las previsiones de este artículo.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Leandro Plano</author>
    <author>www.intercambiosvirtuales.org</author>
  </authors>
  <commentList>
    <comment ref="C2" authorId="0" shapeId="0" xr:uid="{00000000-0006-0000-0000-000001000000}">
      <text>
        <r>
          <rPr>
            <b/>
            <sz val="11"/>
            <color rgb="FF000000"/>
            <rFont val="Arial"/>
            <family val="2"/>
          </rPr>
          <t xml:space="preserve">Se debe </t>
        </r>
        <r>
          <rPr>
            <b/>
            <u/>
            <sz val="11"/>
            <color rgb="FF000000"/>
            <rFont val="Arial"/>
            <family val="2"/>
          </rPr>
          <t>colocar el 40%</t>
        </r>
        <r>
          <rPr>
            <b/>
            <sz val="11"/>
            <color rgb="FF000000"/>
            <rFont val="Arial"/>
            <family val="2"/>
          </rPr>
          <t xml:space="preserve"> del alquiler de tu vivienda.
Tal cual sale en SIRADIG.</t>
        </r>
      </text>
    </comment>
    <comment ref="C4" authorId="1" shapeId="0" xr:uid="{00000000-0006-0000-0000-000002000000}">
      <text>
        <r>
          <rPr>
            <b/>
            <sz val="11"/>
            <color indexed="81"/>
            <rFont val="Tahoma"/>
            <family val="2"/>
          </rPr>
          <t xml:space="preserve">Poner el importe total de los servs o herramientas, como se informó en SiRADIG-TRABAJADOR.
</t>
        </r>
        <r>
          <rPr>
            <sz val="11"/>
            <color indexed="81"/>
            <rFont val="Tahoma"/>
            <family val="2"/>
          </rPr>
          <t xml:space="preserve">(la planilla calcula automaticamente el tope del 40% GNI en la liquidación del impuesto). 
</t>
        </r>
      </text>
    </comment>
    <comment ref="C10" authorId="2" shapeId="0" xr:uid="{00000000-0006-0000-0000-000003000000}">
      <text>
        <r>
          <rPr>
            <b/>
            <sz val="9"/>
            <color indexed="81"/>
            <rFont val="Tahoma"/>
            <family val="2"/>
          </rPr>
          <t>Aquí se pone directamente el LIMITE, es uno por cada carga de familia fallecida.</t>
        </r>
        <r>
          <rPr>
            <sz val="9"/>
            <color indexed="81"/>
            <rFont val="Tahoma"/>
            <family val="2"/>
          </rPr>
          <t xml:space="preserve">
</t>
        </r>
      </text>
    </comment>
    <comment ref="D10" authorId="2" shapeId="0" xr:uid="{00000000-0006-0000-0000-000004000000}">
      <text>
        <r>
          <rPr>
            <b/>
            <sz val="9"/>
            <color indexed="81"/>
            <rFont val="Tahoma"/>
            <family val="2"/>
          </rPr>
          <t>Aquí se pone directamente el LIMITE, es uno por cada carga de familia fallecida.</t>
        </r>
        <r>
          <rPr>
            <sz val="9"/>
            <color indexed="81"/>
            <rFont val="Tahoma"/>
            <family val="2"/>
          </rPr>
          <t xml:space="preserve">
</t>
        </r>
      </text>
    </comment>
    <comment ref="E10" authorId="2" shapeId="0" xr:uid="{00000000-0006-0000-0000-000005000000}">
      <text>
        <r>
          <rPr>
            <b/>
            <sz val="9"/>
            <color indexed="81"/>
            <rFont val="Tahoma"/>
            <family val="2"/>
          </rPr>
          <t>Aquí se pone directamente el LIMITE, es uno por cada carga de familia fallecida.</t>
        </r>
        <r>
          <rPr>
            <sz val="9"/>
            <color indexed="81"/>
            <rFont val="Tahoma"/>
            <family val="2"/>
          </rPr>
          <t xml:space="preserve">
</t>
        </r>
      </text>
    </comment>
    <comment ref="F10" authorId="2" shapeId="0" xr:uid="{00000000-0006-0000-0000-000006000000}">
      <text>
        <r>
          <rPr>
            <b/>
            <sz val="9"/>
            <color indexed="81"/>
            <rFont val="Tahoma"/>
            <family val="2"/>
          </rPr>
          <t>Aquí se pone directamente el LIMITE, es uno por cada carga de familia fallecida.</t>
        </r>
        <r>
          <rPr>
            <sz val="9"/>
            <color indexed="81"/>
            <rFont val="Tahoma"/>
            <family val="2"/>
          </rPr>
          <t xml:space="preserve">
</t>
        </r>
      </text>
    </comment>
    <comment ref="G10" authorId="2" shapeId="0" xr:uid="{00000000-0006-0000-0000-000007000000}">
      <text>
        <r>
          <rPr>
            <b/>
            <sz val="9"/>
            <color indexed="81"/>
            <rFont val="Tahoma"/>
            <family val="2"/>
          </rPr>
          <t>Aquí se pone directamente el LIMITE, es uno por cada carga de familia fallecida.</t>
        </r>
        <r>
          <rPr>
            <sz val="9"/>
            <color indexed="81"/>
            <rFont val="Tahoma"/>
            <family val="2"/>
          </rPr>
          <t xml:space="preserve">
</t>
        </r>
      </text>
    </comment>
    <comment ref="H10" authorId="2" shapeId="0" xr:uid="{00000000-0006-0000-0000-000008000000}">
      <text>
        <r>
          <rPr>
            <b/>
            <sz val="9"/>
            <color indexed="81"/>
            <rFont val="Tahoma"/>
            <family val="2"/>
          </rPr>
          <t>Aquí se pone directamente el LIMITE, es uno por cada carga de familia fallecida.</t>
        </r>
        <r>
          <rPr>
            <sz val="9"/>
            <color indexed="81"/>
            <rFont val="Tahoma"/>
            <family val="2"/>
          </rPr>
          <t xml:space="preserve">
</t>
        </r>
      </text>
    </comment>
    <comment ref="I10" authorId="2" shapeId="0" xr:uid="{00000000-0006-0000-0000-000009000000}">
      <text>
        <r>
          <rPr>
            <b/>
            <sz val="9"/>
            <color indexed="81"/>
            <rFont val="Tahoma"/>
            <family val="2"/>
          </rPr>
          <t>Aquí se pone directamente el LIMITE, es uno por cada carga de familia fallecida.</t>
        </r>
        <r>
          <rPr>
            <sz val="9"/>
            <color indexed="81"/>
            <rFont val="Tahoma"/>
            <family val="2"/>
          </rPr>
          <t xml:space="preserve">
</t>
        </r>
      </text>
    </comment>
    <comment ref="J10" authorId="2" shapeId="0" xr:uid="{00000000-0006-0000-0000-00000A000000}">
      <text>
        <r>
          <rPr>
            <b/>
            <sz val="9"/>
            <color indexed="81"/>
            <rFont val="Tahoma"/>
            <family val="2"/>
          </rPr>
          <t>Aquí se pone directamente el LIMITE, es uno por cada carga de familia fallecida.</t>
        </r>
        <r>
          <rPr>
            <sz val="9"/>
            <color indexed="81"/>
            <rFont val="Tahoma"/>
            <family val="2"/>
          </rPr>
          <t xml:space="preserve">
</t>
        </r>
      </text>
    </comment>
    <comment ref="K10" authorId="2" shapeId="0" xr:uid="{00000000-0006-0000-0000-00000B000000}">
      <text>
        <r>
          <rPr>
            <b/>
            <sz val="9"/>
            <color indexed="81"/>
            <rFont val="Tahoma"/>
            <family val="2"/>
          </rPr>
          <t>Aquí se pone directamente el LIMITE, es uno por cada carga de familia fallecida.</t>
        </r>
        <r>
          <rPr>
            <sz val="9"/>
            <color indexed="81"/>
            <rFont val="Tahoma"/>
            <family val="2"/>
          </rPr>
          <t xml:space="preserve">
</t>
        </r>
      </text>
    </comment>
    <comment ref="L10" authorId="2" shapeId="0" xr:uid="{00000000-0006-0000-0000-00000C000000}">
      <text>
        <r>
          <rPr>
            <b/>
            <sz val="9"/>
            <color indexed="81"/>
            <rFont val="Tahoma"/>
            <family val="2"/>
          </rPr>
          <t>Aquí se pone directamente el LIMITE, es uno por cada carga de familia fallecida.</t>
        </r>
        <r>
          <rPr>
            <sz val="9"/>
            <color indexed="81"/>
            <rFont val="Tahoma"/>
            <family val="2"/>
          </rPr>
          <t xml:space="preserve">
</t>
        </r>
      </text>
    </comment>
    <comment ref="M10" authorId="2" shapeId="0" xr:uid="{00000000-0006-0000-0000-00000D000000}">
      <text>
        <r>
          <rPr>
            <b/>
            <sz val="9"/>
            <color indexed="81"/>
            <rFont val="Tahoma"/>
            <family val="2"/>
          </rPr>
          <t>Aquí se pone directamente el LIMITE, es uno por cada carga de familia fallecida.</t>
        </r>
        <r>
          <rPr>
            <sz val="9"/>
            <color indexed="81"/>
            <rFont val="Tahoma"/>
            <family val="2"/>
          </rPr>
          <t xml:space="preserve">
</t>
        </r>
      </text>
    </comment>
    <comment ref="N10" authorId="2" shapeId="0" xr:uid="{00000000-0006-0000-0000-00000E000000}">
      <text>
        <r>
          <rPr>
            <b/>
            <sz val="9"/>
            <color indexed="81"/>
            <rFont val="Tahoma"/>
            <family val="2"/>
          </rPr>
          <t>Aquí se pone directamente el LIMITE, es uno por cada carga de familia fallecida.</t>
        </r>
        <r>
          <rPr>
            <sz val="9"/>
            <color indexed="81"/>
            <rFont val="Tahoma"/>
            <family val="2"/>
          </rPr>
          <t xml:space="preserve">
</t>
        </r>
      </text>
    </comment>
    <comment ref="O10" authorId="2" shapeId="0" xr:uid="{00000000-0006-0000-0000-00000F000000}">
      <text>
        <r>
          <rPr>
            <b/>
            <sz val="9"/>
            <color indexed="81"/>
            <rFont val="Tahoma"/>
            <family val="2"/>
          </rPr>
          <t>Aquí se pone directamente el LIMITE, es uno por cada carga de familia fallecida.</t>
        </r>
        <r>
          <rPr>
            <sz val="9"/>
            <color indexed="81"/>
            <rFont val="Tahoma"/>
            <family val="2"/>
          </rPr>
          <t xml:space="preserve">
</t>
        </r>
      </text>
    </comment>
    <comment ref="C11" authorId="1" shapeId="0" xr:uid="{00000000-0006-0000-0000-000010000000}">
      <text>
        <r>
          <rPr>
            <b/>
            <sz val="9"/>
            <color indexed="81"/>
            <rFont val="Tahoma"/>
            <family val="2"/>
          </rPr>
          <t xml:space="preserve">c) Importes que se destinen a cuotas o abonos a instituciones que presten cobertura médico asistencial, correspondientes al beneficiario y a las personas que revistan para el mismo el carácter de </t>
        </r>
        <r>
          <rPr>
            <b/>
            <u/>
            <sz val="9"/>
            <color indexed="81"/>
            <rFont val="Tahoma"/>
            <family val="2"/>
          </rPr>
          <t>cargas</t>
        </r>
        <r>
          <rPr>
            <b/>
            <sz val="9"/>
            <color indexed="81"/>
            <rFont val="Tahoma"/>
            <family val="2"/>
          </rPr>
          <t xml:space="preserve"> de familia, de acuerdo con lo dispuesto por el inciso b) del Artículo 30 de la Ley de Impuesto a las Ganancias, texto ordenado en 2019 y sus modificaciones.
El importe a deducir por dichos conceptos no podrá superar el 5% de la ganancia neta del ejercicio acumulada hasta el mes que se liquida, determinada antes de su cómputo y el de los conceptos indicados en la Ley de Impuesto a las Ganancias, texto ordenado en 2019 y sus modificaciones, en su artículo 85 incisos c) y g), así como de los quebrantos de años anteriores y, cuando corresponda, de las sumas a que se refiere el Artículo 30 de dicha ley.</t>
        </r>
        <r>
          <rPr>
            <sz val="9"/>
            <color indexed="81"/>
            <rFont val="Tahoma"/>
            <family val="2"/>
          </rPr>
          <t xml:space="preserve">
</t>
        </r>
      </text>
    </comment>
    <comment ref="C12" authorId="0" shapeId="0" xr:uid="{00000000-0006-0000-0000-000011000000}">
      <text>
        <r>
          <rPr>
            <b/>
            <sz val="11"/>
            <color rgb="FF000000"/>
            <rFont val="Arial"/>
            <family val="2"/>
          </rPr>
          <t xml:space="preserve">Se debe </t>
        </r>
        <r>
          <rPr>
            <b/>
            <u/>
            <sz val="11"/>
            <color rgb="FF000000"/>
            <rFont val="Arial"/>
            <family val="2"/>
          </rPr>
          <t>colocar el 40%</t>
        </r>
        <r>
          <rPr>
            <b/>
            <sz val="11"/>
            <color rgb="FF000000"/>
            <rFont val="Arial"/>
            <family val="2"/>
          </rPr>
          <t xml:space="preserve"> del importe facturado y no reintegrado.
Tal cual sale en SIRADIG.</t>
        </r>
        <r>
          <rPr>
            <sz val="10"/>
            <color rgb="FF000000"/>
            <rFont val="Arial"/>
            <family val="2"/>
          </rPr>
          <t xml:space="preserve">
</t>
        </r>
      </text>
    </comment>
    <comment ref="C14" authorId="1" shapeId="0" xr:uid="{00000000-0006-0000-0000-000012000000}">
      <text>
        <r>
          <rPr>
            <b/>
            <sz val="9"/>
            <color indexed="81"/>
            <rFont val="Tahoma"/>
            <family val="2"/>
          </rPr>
          <t xml:space="preserve">q) </t>
        </r>
        <r>
          <rPr>
            <b/>
            <u/>
            <sz val="9"/>
            <color indexed="81"/>
            <rFont val="Tahoma"/>
            <family val="2"/>
          </rPr>
          <t>Gastos realizados por la adquisición de indumentaria y/o equipamiento para uso exclusivo en el lugar de trabajo con carácter obligatorio</t>
        </r>
        <r>
          <rPr>
            <b/>
            <sz val="9"/>
            <color indexed="81"/>
            <rFont val="Tahoma"/>
            <family val="2"/>
          </rPr>
          <t xml:space="preserve"> y que, debiendo ser provistos por el empleador, hubieran sido adquiridos por el empleado en virtud de los usos y costumbres de la actividad en cuestión, y cuyos </t>
        </r>
        <r>
          <rPr>
            <b/>
            <u/>
            <sz val="9"/>
            <color indexed="81"/>
            <rFont val="Tahoma"/>
            <family val="2"/>
          </rPr>
          <t>costos no fueron reintegrados</t>
        </r>
        <r>
          <rPr>
            <b/>
            <sz val="9"/>
            <color indexed="81"/>
            <rFont val="Tahoma"/>
            <family val="2"/>
          </rPr>
          <t xml:space="preserve">.
 Por la modalidad de “home-office”, la adquisición de una computadora que se usa para trabajar podría considerarse como un gasto en equipamiento necesario para trabajar.
</t>
        </r>
        <r>
          <rPr>
            <sz val="9"/>
            <color indexed="81"/>
            <rFont val="Tahoma"/>
            <family val="2"/>
          </rPr>
          <t xml:space="preserve">
</t>
        </r>
      </text>
    </comment>
    <comment ref="C15" authorId="1" shapeId="0" xr:uid="{00000000-0006-0000-0000-000013000000}">
      <text>
        <r>
          <rPr>
            <b/>
            <u/>
            <sz val="9"/>
            <color indexed="81"/>
            <rFont val="Tahoma"/>
            <family val="2"/>
          </rPr>
          <t>Aportes efectuados por los socios protectores a Sociedades de Garantía Recíproca - Reintegro de aportes de socios protectores a Sociedades de Garantía Recíproca</t>
        </r>
        <r>
          <rPr>
            <b/>
            <sz val="9"/>
            <color indexed="81"/>
            <rFont val="Tahoma"/>
            <family val="2"/>
          </rPr>
          <t xml:space="preserve">
Los aportes serán deducibles en el ejercicio fiscal en el cual se efectivicen, siempre que esos aportes se mantengan en la sociedad por el plazo mínimo de dos años calendario, contados a partir de la fecha de su efectivización.
La deducción operará por el 100% del aporte efectuado y no deberá superar ese porcentaje en ningún caso. El grado de utilización del fondo de riesgo en el otorgamiento de garantía deberá ser como mínimo del 80 % como promedio en el período de permanencia de los aportes.
En este apartado se debe informar la CUIT de la sociedad y los aportes efectuados durante el año calendario que se está declarando. Se puede brindar esta información desde la solapa “deducciones y desgravaciones” y también desde la solapa “ajustes”.</t>
        </r>
        <r>
          <rPr>
            <sz val="9"/>
            <color indexed="81"/>
            <rFont val="Tahoma"/>
            <family val="2"/>
          </rPr>
          <t xml:space="preserve">
</t>
        </r>
      </text>
    </comment>
    <comment ref="C18" authorId="1" shapeId="0" xr:uid="{00000000-0006-0000-0000-000014000000}">
      <text>
        <r>
          <rPr>
            <b/>
            <sz val="9"/>
            <color indexed="81"/>
            <rFont val="Tahoma"/>
            <family val="2"/>
          </rPr>
          <t>Aportes para fondos de Jubilación, Retiros, Pensiones o Subsidios destinados al ANSES</t>
        </r>
      </text>
    </comment>
    <comment ref="C25" authorId="1" shapeId="0" xr:uid="{00000000-0006-0000-0000-000015000000}">
      <text>
        <r>
          <rPr>
            <b/>
            <sz val="9"/>
            <color indexed="81"/>
            <rFont val="Tahoma"/>
            <family val="2"/>
          </rPr>
          <t>E- DEDUCCIONES PERSONALES. ARTÍCULO 30.- 
"</t>
        </r>
        <r>
          <rPr>
            <b/>
            <u/>
            <sz val="14"/>
            <color indexed="81"/>
            <rFont val="Tw Cen MT Condensed Extra Bold"/>
            <family val="2"/>
          </rPr>
          <t>CARGAS DE FAMILIA</t>
        </r>
        <r>
          <rPr>
            <b/>
            <sz val="9"/>
            <color indexed="81"/>
            <rFont val="Tahoma"/>
            <family val="2"/>
          </rPr>
          <t xml:space="preserve">":
Las personas humanas tendrán derecho a deducir de sus ganancias netas:
b) En concepto de cargas de familia, </t>
        </r>
        <r>
          <rPr>
            <b/>
            <sz val="10"/>
            <color indexed="81"/>
            <rFont val="Tahoma"/>
            <family val="2"/>
          </rPr>
          <t>siempre que</t>
        </r>
        <r>
          <rPr>
            <b/>
            <sz val="9"/>
            <color indexed="81"/>
            <rFont val="Tahoma"/>
            <family val="2"/>
          </rPr>
          <t xml:space="preserve"> las personas que se indican sean </t>
        </r>
        <r>
          <rPr>
            <b/>
            <u/>
            <sz val="9"/>
            <color indexed="81"/>
            <rFont val="Tahoma"/>
            <family val="2"/>
          </rPr>
          <t>residentes</t>
        </r>
        <r>
          <rPr>
            <b/>
            <sz val="9"/>
            <color indexed="81"/>
            <rFont val="Tahoma"/>
            <family val="2"/>
          </rPr>
          <t xml:space="preserve"> en el país, estén </t>
        </r>
        <r>
          <rPr>
            <b/>
            <u/>
            <sz val="9"/>
            <color indexed="81"/>
            <rFont val="Tahoma"/>
            <family val="2"/>
          </rPr>
          <t>a cargo</t>
        </r>
        <r>
          <rPr>
            <b/>
            <sz val="9"/>
            <color indexed="81"/>
            <rFont val="Tahoma"/>
            <family val="2"/>
          </rPr>
          <t xml:space="preserve"> del contribuyente </t>
        </r>
        <r>
          <rPr>
            <b/>
            <u/>
            <sz val="9"/>
            <color indexed="81"/>
            <rFont val="Tahoma"/>
            <family val="2"/>
          </rPr>
          <t>y</t>
        </r>
        <r>
          <rPr>
            <b/>
            <sz val="9"/>
            <color indexed="81"/>
            <rFont val="Tahoma"/>
            <family val="2"/>
          </rPr>
          <t xml:space="preserve"> no tengan en el año </t>
        </r>
        <r>
          <rPr>
            <b/>
            <u/>
            <sz val="9"/>
            <color indexed="81"/>
            <rFont val="Tahoma"/>
            <family val="2"/>
          </rPr>
          <t>ingresos netos superiores</t>
        </r>
        <r>
          <rPr>
            <b/>
            <sz val="9"/>
            <color indexed="81"/>
            <rFont val="Tahoma"/>
            <family val="2"/>
          </rPr>
          <t xml:space="preserve"> al importe de la </t>
        </r>
        <r>
          <rPr>
            <b/>
            <u/>
            <sz val="9"/>
            <color indexed="81"/>
            <rFont val="Tahoma"/>
            <family val="2"/>
          </rPr>
          <t>GNI</t>
        </r>
        <r>
          <rPr>
            <b/>
            <sz val="9"/>
            <color indexed="81"/>
            <rFont val="Tahoma"/>
            <family val="2"/>
          </rPr>
          <t xml:space="preserve">, cualquiera sea su origen y estén o no sujetas al impuesto:
</t>
        </r>
        <r>
          <rPr>
            <sz val="9"/>
            <color indexed="81"/>
            <rFont val="Tahoma"/>
            <family val="2"/>
          </rPr>
          <t xml:space="preserve">
</t>
        </r>
        <r>
          <rPr>
            <b/>
            <sz val="9"/>
            <color indexed="81"/>
            <rFont val="Tahoma"/>
            <family val="2"/>
          </rPr>
          <t xml:space="preserve">✓  Cómputo de las deducciones (Art. 31 LIG) </t>
        </r>
        <r>
          <rPr>
            <sz val="9"/>
            <color indexed="81"/>
            <rFont val="Tahoma"/>
            <family val="2"/>
          </rPr>
          <t xml:space="preserve">
Las deducciones por cargas de familia se harán efectivas </t>
        </r>
        <r>
          <rPr>
            <u/>
            <sz val="9"/>
            <color indexed="81"/>
            <rFont val="Tahoma"/>
            <family val="2"/>
          </rPr>
          <t>por períodos mensuales</t>
        </r>
        <r>
          <rPr>
            <sz val="9"/>
            <color indexed="81"/>
            <rFont val="Tahoma"/>
            <family val="2"/>
          </rPr>
          <t xml:space="preserve">, computándose todo el mes en que ocurran o cesen las causas que determinen su cómputo (nacimiento, casamiento, defunción,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Leandro Plano</author>
    <author/>
    <author>neli</author>
    <author>www.intercambiosvirtuales.org</author>
  </authors>
  <commentList>
    <comment ref="A2" authorId="0" shapeId="0" xr:uid="{00000000-0006-0000-0100-000002000000}">
      <text>
        <r>
          <rPr>
            <b/>
            <u/>
            <sz val="10"/>
            <color indexed="81"/>
            <rFont val="Tahoma"/>
            <family val="2"/>
          </rPr>
          <t>SÍ</t>
        </r>
        <r>
          <rPr>
            <b/>
            <sz val="9"/>
            <color indexed="81"/>
            <rFont val="Tahoma"/>
            <family val="2"/>
          </rPr>
          <t xml:space="preserve">: si se paga dentro del mes de devengamiento, ejemplo enero se paga hasta 31/01.
Este dato es para calcular la base imponible maxima para los aportes (jub, INSSJP y O.Soc); y para el punto de partida cuando el PEN decrete un incremento en las Ded Especiales Incrementadas para eximir del impuesto (Grupo 1) o para morigerar su impacto (Grupo 2)
</t>
        </r>
        <r>
          <rPr>
            <sz val="9"/>
            <color indexed="81"/>
            <rFont val="Tahoma"/>
            <family val="2"/>
          </rPr>
          <t xml:space="preserve">
</t>
        </r>
      </text>
    </comment>
    <comment ref="A4" authorId="0" shapeId="0" xr:uid="{00000000-0006-0000-0100-000003000000}">
      <text>
        <r>
          <rPr>
            <b/>
            <sz val="9"/>
            <color indexed="81"/>
            <rFont val="Tahoma"/>
            <family val="2"/>
          </rPr>
          <t xml:space="preserve">Una aclaración importante, la mecánica de liquidación para la cuarta categoría es POR LO </t>
        </r>
        <r>
          <rPr>
            <b/>
            <u/>
            <sz val="9"/>
            <color indexed="81"/>
            <rFont val="Tahoma"/>
            <family val="2"/>
          </rPr>
          <t>PERCIBIDO</t>
        </r>
        <r>
          <rPr>
            <b/>
            <sz val="9"/>
            <color indexed="81"/>
            <rFont val="Tahoma"/>
            <family val="2"/>
          </rPr>
          <t xml:space="preserve">, por ende en cada una de las columnas de MESES (enero a diciembre) se deben ir completando según el </t>
        </r>
        <r>
          <rPr>
            <b/>
            <u/>
            <sz val="9"/>
            <color indexed="81"/>
            <rFont val="Tahoma"/>
            <family val="2"/>
          </rPr>
          <t>PAGO</t>
        </r>
        <r>
          <rPr>
            <b/>
            <sz val="9"/>
            <color indexed="81"/>
            <rFont val="Tahoma"/>
            <family val="2"/>
          </rPr>
          <t xml:space="preserve"> de los Sueldos. 
</t>
        </r>
        <r>
          <rPr>
            <b/>
            <u/>
            <sz val="9"/>
            <color indexed="81"/>
            <rFont val="Tahoma"/>
            <family val="2"/>
          </rPr>
          <t>Ejemplo</t>
        </r>
        <r>
          <rPr>
            <b/>
            <sz val="9"/>
            <color indexed="81"/>
            <rFont val="Tahoma"/>
            <family val="2"/>
          </rPr>
          <t xml:space="preserve">, Sueldos devengados 12/2022 se pagaron el día </t>
        </r>
        <r>
          <rPr>
            <b/>
            <u/>
            <sz val="9"/>
            <color indexed="81"/>
            <rFont val="Tahoma"/>
            <family val="2"/>
          </rPr>
          <t>03/01/2023</t>
        </r>
        <r>
          <rPr>
            <b/>
            <sz val="9"/>
            <color indexed="81"/>
            <rFont val="Tahoma"/>
            <family val="2"/>
          </rPr>
          <t>, toda esa información (remun, deducciones, etc) se debe plasmar en la columna “</t>
        </r>
        <r>
          <rPr>
            <b/>
            <u/>
            <sz val="9"/>
            <color indexed="81"/>
            <rFont val="Tahoma"/>
            <family val="2"/>
          </rPr>
          <t>ENERO</t>
        </r>
        <r>
          <rPr>
            <b/>
            <sz val="9"/>
            <color indexed="81"/>
            <rFont val="Tahoma"/>
            <family val="2"/>
          </rPr>
          <t>”, ya que es la de su percepción (pago).</t>
        </r>
        <r>
          <rPr>
            <sz val="9"/>
            <color indexed="81"/>
            <rFont val="Tahoma"/>
            <family val="2"/>
          </rPr>
          <t xml:space="preserve">
</t>
        </r>
      </text>
    </comment>
    <comment ref="B4" authorId="0" shapeId="0" xr:uid="{00000000-0006-0000-0100-000004000000}">
      <text>
        <r>
          <rPr>
            <b/>
            <sz val="9"/>
            <color indexed="81"/>
            <rFont val="Tahoma"/>
            <family val="2"/>
          </rPr>
          <t>"H": es retribucion habitual.
"NH": es retribucion NO habitual y se proporciona.</t>
        </r>
        <r>
          <rPr>
            <sz val="9"/>
            <color indexed="81"/>
            <rFont val="Tahoma"/>
            <family val="2"/>
          </rPr>
          <t xml:space="preserve">
</t>
        </r>
      </text>
    </comment>
    <comment ref="C4" authorId="0" shapeId="0" xr:uid="{00000000-0006-0000-0100-000005000000}">
      <text>
        <r>
          <rPr>
            <b/>
            <sz val="9"/>
            <color indexed="81"/>
            <rFont val="Tahoma"/>
            <family val="2"/>
          </rPr>
          <t>Poner:
R :  si es Remunerativo.
NR: si es NO Remun.</t>
        </r>
        <r>
          <rPr>
            <sz val="9"/>
            <color indexed="81"/>
            <rFont val="Tahoma"/>
            <family val="2"/>
          </rPr>
          <t xml:space="preserve">
</t>
        </r>
      </text>
    </comment>
    <comment ref="A23" authorId="0" shapeId="0" xr:uid="{00000000-0006-0000-0100-000007000000}">
      <text>
        <r>
          <rPr>
            <b/>
            <sz val="9"/>
            <color indexed="81"/>
            <rFont val="Tahoma"/>
            <family val="2"/>
          </rPr>
          <t xml:space="preserve">En el caso de horas extras realizadas en días inhábiles, feriados y fines de semana, la </t>
        </r>
        <r>
          <rPr>
            <b/>
            <u/>
            <sz val="10"/>
            <color indexed="81"/>
            <rFont val="Tahoma"/>
            <family val="2"/>
          </rPr>
          <t>diferencia</t>
        </r>
        <r>
          <rPr>
            <b/>
            <sz val="9"/>
            <color indexed="81"/>
            <rFont val="Tahoma"/>
            <family val="2"/>
          </rPr>
          <t xml:space="preserve"> entre el valor de la hora extra y el valor de la hora normal se encuentra exenta de IG.
</t>
        </r>
        <r>
          <rPr>
            <b/>
            <i/>
            <u/>
            <sz val="11"/>
            <color indexed="81"/>
            <rFont val="Tahoma"/>
            <family val="2"/>
          </rPr>
          <t>Ejemplo</t>
        </r>
        <r>
          <rPr>
            <b/>
            <sz val="9"/>
            <color indexed="81"/>
            <rFont val="Tahoma"/>
            <family val="2"/>
          </rPr>
          <t>:
Hs extras 100%: $ 10.000
gravado: $ 5.000
exento: $ 5.000</t>
        </r>
      </text>
    </comment>
    <comment ref="A74" authorId="1" shapeId="0" xr:uid="{00000000-0006-0000-0100-000009000000}">
      <text>
        <r>
          <rPr>
            <sz val="10"/>
            <color rgb="FF000000"/>
            <rFont val="Arial"/>
            <family val="2"/>
          </rPr>
          <t>De los dos importes, se toma el "</t>
        </r>
        <r>
          <rPr>
            <b/>
            <u/>
            <sz val="9"/>
            <color rgb="FF000000"/>
            <rFont val="Tahoma"/>
            <family val="2"/>
            <charset val="1"/>
          </rPr>
          <t>MENOR</t>
        </r>
        <r>
          <rPr>
            <b/>
            <sz val="9"/>
            <color rgb="FF000000"/>
            <rFont val="Tahoma"/>
            <family val="2"/>
          </rPr>
          <t xml:space="preserve">", para determinar el GRUPO 1,2 ó 3.
</t>
        </r>
        <r>
          <rPr>
            <sz val="9"/>
            <color rgb="FF000000"/>
            <rFont val="Tahoma"/>
            <family val="2"/>
          </rPr>
          <t xml:space="preserve">
1) Grupo 1 (liq. "MENSUAL").
2) Grupo 2 (liq. "MENSUAL").</t>
        </r>
      </text>
    </comment>
    <comment ref="C93" authorId="0" shapeId="0" xr:uid="{00000000-0006-0000-0100-00000B000000}">
      <text>
        <r>
          <rPr>
            <b/>
            <sz val="9"/>
            <color indexed="81"/>
            <rFont val="Tahoma"/>
            <family val="2"/>
          </rPr>
          <t>% para calculo de Hs Extras gravadas "</t>
        </r>
        <r>
          <rPr>
            <b/>
            <u/>
            <sz val="9"/>
            <color indexed="81"/>
            <rFont val="Tahoma"/>
            <family val="2"/>
          </rPr>
          <t>netas</t>
        </r>
        <r>
          <rPr>
            <b/>
            <sz val="9"/>
            <color indexed="81"/>
            <rFont val="Tahoma"/>
            <family val="2"/>
          </rPr>
          <t>" de Pluriempleo, para no saltar de tramo de escala art 94º.</t>
        </r>
      </text>
    </comment>
    <comment ref="O101" authorId="0" shapeId="0" xr:uid="{991EABFE-5C4D-4276-BD9C-9DA5E5119CB2}">
      <text>
        <r>
          <rPr>
            <sz val="9"/>
            <color indexed="81"/>
            <rFont val="Tahoma"/>
            <family val="2"/>
          </rPr>
          <t xml:space="preserve">
Si paga los sueldos el </t>
        </r>
        <r>
          <rPr>
            <u/>
            <sz val="9"/>
            <color indexed="81"/>
            <rFont val="Tahoma"/>
            <family val="2"/>
          </rPr>
          <t>mes siguiente</t>
        </r>
        <r>
          <rPr>
            <sz val="9"/>
            <color indexed="81"/>
            <rFont val="Tahoma"/>
            <family val="2"/>
          </rPr>
          <t xml:space="preserve"> a su devengamiento, entonces el devengado diciembre, lo paga los primeros dias de ENERO, por ende en la columna enero pero del otro año se verá reflejado. 
Es por eso que en esta </t>
        </r>
        <r>
          <rPr>
            <u/>
            <sz val="9"/>
            <color indexed="81"/>
            <rFont val="Tahoma"/>
            <family val="2"/>
          </rPr>
          <t>celda</t>
        </r>
        <r>
          <rPr>
            <sz val="9"/>
            <color indexed="81"/>
            <rFont val="Tahoma"/>
            <family val="2"/>
          </rPr>
          <t xml:space="preserve"> los que pagan prox mes deben poner </t>
        </r>
        <r>
          <rPr>
            <u/>
            <sz val="9"/>
            <color indexed="81"/>
            <rFont val="Tahoma"/>
            <family val="2"/>
          </rPr>
          <t>A MANO</t>
        </r>
        <r>
          <rPr>
            <sz val="9"/>
            <color indexed="81"/>
            <rFont val="Tahoma"/>
            <family val="2"/>
          </rPr>
          <t xml:space="preserve"> la base de la mayor remun para Devengado diciembre, cambiando el importe al final de esta formula, el cero x el importe de la "base de calculo" para el SAC. 2º semestre.</t>
        </r>
      </text>
    </comment>
    <comment ref="I104" authorId="1" shapeId="0" xr:uid="{00000000-0006-0000-0100-00000C000000}">
      <text>
        <r>
          <rPr>
            <sz val="10"/>
            <color rgb="FF000000"/>
            <rFont val="Arial"/>
            <family val="2"/>
          </rPr>
          <t xml:space="preserve">La </t>
        </r>
        <r>
          <rPr>
            <b/>
            <u/>
            <sz val="9"/>
            <color rgb="FF000000"/>
            <rFont val="Tahoma"/>
            <family val="2"/>
            <charset val="1"/>
          </rPr>
          <t>exención</t>
        </r>
        <r>
          <rPr>
            <b/>
            <sz val="9"/>
            <color rgb="FF000000"/>
            <rFont val="Tahoma"/>
            <family val="2"/>
            <charset val="1"/>
          </rPr>
          <t xml:space="preserve"> del Sueldo Anual Complementario</t>
        </r>
        <r>
          <rPr>
            <b/>
            <u/>
            <sz val="9"/>
            <color rgb="FF000000"/>
            <rFont val="Tahoma"/>
            <family val="2"/>
            <charset val="1"/>
          </rPr>
          <t xml:space="preserve"> no podrá exceder</t>
        </r>
        <r>
          <rPr>
            <b/>
            <sz val="9"/>
            <color rgb="FF000000"/>
            <rFont val="Tahoma"/>
            <family val="2"/>
            <charset val="1"/>
          </rPr>
          <t xml:space="preserve"> el importe que resulte </t>
        </r>
        <r>
          <rPr>
            <b/>
            <u/>
            <sz val="9"/>
            <color rgb="FF000000"/>
            <rFont val="Tahoma"/>
            <family val="2"/>
            <charset val="1"/>
          </rPr>
          <t>de determinarlo</t>
        </r>
        <r>
          <rPr>
            <b/>
            <sz val="9"/>
            <color rgb="FF000000"/>
            <rFont val="Tahoma"/>
            <family val="2"/>
            <charset val="1"/>
          </rPr>
          <t xml:space="preserve"> de conformidad con la remuneración indicada en el inciso z) del artículo 26 de la ley del impuesto.
O sea, $ RB art 26 z) junio  x 50% x 180/180 = $ 
</t>
        </r>
      </text>
    </comment>
    <comment ref="O104" authorId="1" shapeId="0" xr:uid="{00000000-0006-0000-0100-00000D000000}">
      <text>
        <r>
          <rPr>
            <sz val="10"/>
            <color rgb="FF000000"/>
            <rFont val="Arial"/>
            <family val="2"/>
          </rPr>
          <t>La exención del Sueldo Anual Complementario no podrá exceder el importe que resulte de determinarlo de conformidad con la remuneración indicada en el inciso z) del artículo 26 de la ley del impuesto.
O sea,</t>
        </r>
        <r>
          <rPr>
            <b/>
            <sz val="10"/>
            <color rgb="FF000000"/>
            <rFont val="Arial"/>
            <family val="2"/>
          </rPr>
          <t xml:space="preserve"> $ RB art 26 z) diciembre  x 50% x 180/180 = $ </t>
        </r>
        <r>
          <rPr>
            <sz val="10"/>
            <color rgb="FF000000"/>
            <rFont val="Arial"/>
            <family val="2"/>
          </rPr>
          <t xml:space="preserve">
</t>
        </r>
      </text>
    </comment>
    <comment ref="A140" authorId="0" shapeId="0" xr:uid="{00000000-0006-0000-0100-000010000000}">
      <text>
        <r>
          <rPr>
            <b/>
            <sz val="9"/>
            <color indexed="81"/>
            <rFont val="Tahoma"/>
            <family val="2"/>
          </rPr>
          <t xml:space="preserve">En el caso de horas extras realizadas en días inhábiles, feriados y fines de semana, la </t>
        </r>
        <r>
          <rPr>
            <b/>
            <u/>
            <sz val="10"/>
            <color indexed="81"/>
            <rFont val="Tahoma"/>
            <family val="2"/>
          </rPr>
          <t>diferencia</t>
        </r>
        <r>
          <rPr>
            <b/>
            <sz val="9"/>
            <color indexed="81"/>
            <rFont val="Tahoma"/>
            <family val="2"/>
          </rPr>
          <t xml:space="preserve"> entre el valor de la hora extra y el valor de la hora normal se encuentra exenta de IG.
</t>
        </r>
        <r>
          <rPr>
            <b/>
            <i/>
            <u/>
            <sz val="11"/>
            <color indexed="81"/>
            <rFont val="Tahoma"/>
            <family val="2"/>
          </rPr>
          <t>Ejemplo</t>
        </r>
        <r>
          <rPr>
            <b/>
            <sz val="9"/>
            <color indexed="81"/>
            <rFont val="Tahoma"/>
            <family val="2"/>
          </rPr>
          <t>:
Hs extras 100%: $ 10.000
gravado: $ 5.000
exento: $ 5.000</t>
        </r>
      </text>
    </comment>
    <comment ref="A193" authorId="1" shapeId="0" xr:uid="{00000000-0006-0000-0100-000011000000}">
      <text>
        <r>
          <rPr>
            <b/>
            <sz val="9"/>
            <color rgb="FF000000"/>
            <rFont val="Tahoma"/>
            <family val="2"/>
            <charset val="1"/>
          </rPr>
          <t xml:space="preserve">C - Sueldo Anual Complementario (SAC) gravado.
Los agentes de retención deberán adicionar a la ganancia bruta de cada mes calendario determinada conforme el Apartado A y, en su caso, a las retribuciones no habituales previstas en el Apartado B, una doceava parte de la suma de tales ganancias en concepto de Sueldo Anual Complementario para la determinación del importe a retener en dicho mes.
Asimismo, detraerán una doceava parte de las deducciones a computar en dicho mes, en concepto de deducciones del Sueldo Anual Complementario.
En los meses en que se abonen las cuotas del Sueldo Anual Complementario, el empleador podrá optar por:
a) Considerar los importes realmente abonados por dichas cuotas y las deducciones que corresponda practicar sobre las mismas, en sustitución de las doceavas partes computadas en los meses del período fiscal de que se trate, transcurridos hasta el pago de tales conceptos.
b) Utilizar la metodología mencionada en los párrafos anteriores y, luego, en la liquidación anual o final, según corresponda, efectuada conforme el Artículo 21, considerar el Sueldo Anual Complementario percibido en el período fiscal y las deducciones correspondientes a los conceptos informados por el beneficiario de las rentas, en reemplazo de las doceavas partes computadas en cada mes.
</t>
        </r>
      </text>
    </comment>
    <comment ref="P254" authorId="1" shapeId="0" xr:uid="{00000000-0006-0000-0100-000017000000}">
      <text>
        <r>
          <rPr>
            <sz val="10"/>
            <color rgb="FF000000"/>
            <rFont val="Arial"/>
            <family val="2"/>
          </rPr>
          <t xml:space="preserve">NO BORRAR!!!!
</t>
        </r>
      </text>
    </comment>
    <comment ref="P255" authorId="0" shapeId="0" xr:uid="{AEEFC36D-C116-4B4A-934B-96CB7FC04CCE}">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P256" authorId="0" shapeId="0" xr:uid="{CEDB441D-7B37-4320-B291-8DBCF80E4491}">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P257" authorId="0" shapeId="0" xr:uid="{F2EEBD1A-6BFB-4251-AEFC-0AECDAD1ECE6}">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A290" authorId="0" shapeId="0" xr:uid="{00000000-0006-0000-0100-000019000000}">
      <text>
        <r>
          <rPr>
            <b/>
            <sz val="9"/>
            <color indexed="81"/>
            <rFont val="Tahoma"/>
            <family val="2"/>
          </rPr>
          <t xml:space="preserve">HORAS EXTRAS GRAVADAS (IMPORTE NETO) -&gt; </t>
        </r>
        <r>
          <rPr>
            <b/>
            <u/>
            <sz val="9"/>
            <color indexed="81"/>
            <rFont val="Tahoma"/>
            <family val="2"/>
          </rPr>
          <t>no te hace saltar de tramo de la escala</t>
        </r>
        <r>
          <rPr>
            <b/>
            <sz val="9"/>
            <color indexed="81"/>
            <rFont val="Tahoma"/>
            <family val="2"/>
          </rPr>
          <t xml:space="preserve">. 
Conforme lo previsto en el párrafo cuarto del artículo 94 LIG, al sólo efecto de determinar el </t>
        </r>
        <r>
          <rPr>
            <b/>
            <u/>
            <sz val="9"/>
            <color indexed="81"/>
            <rFont val="Tahoma"/>
            <family val="2"/>
          </rPr>
          <t>tramo</t>
        </r>
        <r>
          <rPr>
            <b/>
            <sz val="9"/>
            <color indexed="81"/>
            <rFont val="Tahoma"/>
            <family val="2"/>
          </rPr>
          <t xml:space="preserve"> de “ganancia neta imponible acumulada” que corresponde aplicar para el mes que se liquida, </t>
        </r>
        <r>
          <rPr>
            <b/>
            <u/>
            <sz val="9"/>
            <color indexed="81"/>
            <rFont val="Tahoma"/>
            <family val="2"/>
          </rPr>
          <t>deberá restarse</t>
        </r>
        <r>
          <rPr>
            <b/>
            <sz val="9"/>
            <color indexed="81"/>
            <rFont val="Tahoma"/>
            <family val="2"/>
          </rPr>
          <t xml:space="preserve"> de la ganancia neta sujeta a impuesto, el importe neto correspondiente a las horas extras que resulten gravadas. </t>
        </r>
      </text>
    </comment>
    <comment ref="A301" authorId="2" shapeId="0" xr:uid="{00000000-0006-0000-0100-00001A000000}">
      <text>
        <r>
          <rPr>
            <b/>
            <sz val="14"/>
            <color indexed="81"/>
            <rFont val="Tahoma"/>
            <family val="2"/>
          </rPr>
          <t>Poner manual (sin formula):
* retenido: signo  +
* devuelto: signo  -</t>
        </r>
        <r>
          <rPr>
            <sz val="9"/>
            <color indexed="81"/>
            <rFont val="Tahoma"/>
            <family val="2"/>
          </rPr>
          <t xml:space="preserve">
</t>
        </r>
      </text>
    </comment>
    <comment ref="S301" authorId="0" shapeId="0" xr:uid="{00000000-0006-0000-0100-00001B000000}">
      <text>
        <r>
          <rPr>
            <b/>
            <u/>
            <sz val="9"/>
            <color indexed="81"/>
            <rFont val="Tahoma"/>
            <family val="2"/>
          </rPr>
          <t>concurrencia</t>
        </r>
        <r>
          <rPr>
            <b/>
            <sz val="9"/>
            <color indexed="81"/>
            <rFont val="Tahoma"/>
            <family val="2"/>
          </rPr>
          <t xml:space="preserve"> del impuesto retenido: para el </t>
        </r>
        <r>
          <rPr>
            <b/>
            <u/>
            <sz val="9"/>
            <color indexed="81"/>
            <rFont val="Tahoma"/>
            <family val="2"/>
          </rPr>
          <t>limite</t>
        </r>
        <r>
          <rPr>
            <b/>
            <sz val="9"/>
            <color indexed="81"/>
            <rFont val="Tahoma"/>
            <family val="2"/>
          </rPr>
          <t xml:space="preserve"> del </t>
        </r>
        <r>
          <rPr>
            <b/>
            <u/>
            <sz val="9"/>
            <color indexed="81"/>
            <rFont val="Tahoma"/>
            <family val="2"/>
          </rPr>
          <t>pago a cta</t>
        </r>
        <r>
          <rPr>
            <b/>
            <sz val="9"/>
            <color indexed="81"/>
            <rFont val="Tahoma"/>
            <family val="2"/>
          </rPr>
          <t xml:space="preserve"> a DEVOLVER.</t>
        </r>
        <r>
          <rPr>
            <sz val="9"/>
            <color indexed="81"/>
            <rFont val="Tahoma"/>
            <family val="2"/>
          </rPr>
          <t xml:space="preserve">
</t>
        </r>
      </text>
    </comment>
    <comment ref="P305" authorId="3" shapeId="0" xr:uid="{00000000-0006-0000-0100-00001C000000}">
      <text>
        <r>
          <rPr>
            <b/>
            <sz val="9"/>
            <color indexed="81"/>
            <rFont val="Tahoma"/>
            <family val="2"/>
          </rPr>
          <t xml:space="preserve">Si mediante </t>
        </r>
        <r>
          <rPr>
            <b/>
            <u/>
            <sz val="9"/>
            <color indexed="81"/>
            <rFont val="Tahoma"/>
            <family val="2"/>
          </rPr>
          <t>NOTA</t>
        </r>
        <r>
          <rPr>
            <b/>
            <sz val="9"/>
            <color indexed="81"/>
            <rFont val="Tahoma"/>
            <family val="2"/>
          </rPr>
          <t xml:space="preserve"> el empleado solicita que se </t>
        </r>
        <r>
          <rPr>
            <b/>
            <u/>
            <sz val="9"/>
            <color indexed="81"/>
            <rFont val="Tahoma"/>
            <family val="2"/>
          </rPr>
          <t>aplique el limite del 35%</t>
        </r>
        <r>
          <rPr>
            <b/>
            <sz val="9"/>
            <color indexed="81"/>
            <rFont val="Tahoma"/>
            <family val="2"/>
          </rPr>
          <t xml:space="preserve">: en esta formula, </t>
        </r>
        <r>
          <rPr>
            <b/>
            <u/>
            <sz val="9"/>
            <color indexed="81"/>
            <rFont val="Tahoma"/>
            <family val="2"/>
          </rPr>
          <t>reemplazar</t>
        </r>
        <r>
          <rPr>
            <b/>
            <sz val="9"/>
            <color indexed="81"/>
            <rFont val="Tahoma"/>
            <family val="2"/>
          </rPr>
          <t xml:space="preserve"> el "0" (cero) por la RBH del mes que se hace la liq anual (abr o may).</t>
        </r>
        <r>
          <rPr>
            <sz val="9"/>
            <color indexed="81"/>
            <rFont val="Tahoma"/>
            <family val="2"/>
          </rPr>
          <t xml:space="preserve">
</t>
        </r>
      </text>
    </comment>
    <comment ref="P307" authorId="0" shapeId="0" xr:uid="{16D638B7-700F-483B-8854-F8099D5A34E5}">
      <text>
        <r>
          <rPr>
            <b/>
            <sz val="9"/>
            <color indexed="81"/>
            <rFont val="Tahoma"/>
            <family val="2"/>
          </rPr>
          <t xml:space="preserve">el agente de retención </t>
        </r>
        <r>
          <rPr>
            <b/>
            <u/>
            <sz val="9"/>
            <color indexed="81"/>
            <rFont val="Tahoma"/>
            <family val="2"/>
          </rPr>
          <t>no deberá considerar el referido límite</t>
        </r>
        <r>
          <rPr>
            <b/>
            <sz val="9"/>
            <color indexed="81"/>
            <rFont val="Tahoma"/>
            <family val="2"/>
          </rPr>
          <t xml:space="preserve"> en oportunidad de practicar la retención que corresponda a la </t>
        </r>
        <r>
          <rPr>
            <b/>
            <u/>
            <sz val="9"/>
            <color indexed="81"/>
            <rFont val="Tahoma"/>
            <family val="2"/>
          </rPr>
          <t>liquidación anual o final</t>
        </r>
        <r>
          <rPr>
            <b/>
            <sz val="9"/>
            <color indexed="81"/>
            <rFont val="Tahoma"/>
            <family val="2"/>
          </rPr>
          <t xml:space="preserve">, previstas en el Artículo 21, </t>
        </r>
        <r>
          <rPr>
            <b/>
            <u/>
            <sz val="9"/>
            <color indexed="81"/>
            <rFont val="Tahoma"/>
            <family val="2"/>
          </rPr>
          <t>excepto</t>
        </r>
        <r>
          <rPr>
            <b/>
            <sz val="9"/>
            <color indexed="81"/>
            <rFont val="Tahoma"/>
            <family val="2"/>
          </rPr>
          <t xml:space="preserve"> cuando el sujeto pasible de la retención manifieste mediante </t>
        </r>
        <r>
          <rPr>
            <b/>
            <u/>
            <sz val="9"/>
            <color indexed="81"/>
            <rFont val="Tahoma"/>
            <family val="2"/>
          </rPr>
          <t>nota</t>
        </r>
        <r>
          <rPr>
            <b/>
            <sz val="9"/>
            <color indexed="81"/>
            <rFont val="Tahoma"/>
            <family val="2"/>
          </rPr>
          <t xml:space="preserve">, su voluntad de que </t>
        </r>
        <r>
          <rPr>
            <b/>
            <u/>
            <sz val="9"/>
            <color indexed="81"/>
            <rFont val="Tahoma"/>
            <family val="2"/>
          </rPr>
          <t>se aplique</t>
        </r>
        <r>
          <rPr>
            <b/>
            <sz val="9"/>
            <color indexed="81"/>
            <rFont val="Tahoma"/>
            <family val="2"/>
          </rPr>
          <t xml:space="preserve"> dicho límite.</t>
        </r>
        <r>
          <rPr>
            <sz val="9"/>
            <color indexed="81"/>
            <rFont val="Tahoma"/>
            <family val="2"/>
          </rPr>
          <t xml:space="preserve">
</t>
        </r>
      </text>
    </comment>
  </commentList>
</comments>
</file>

<file path=xl/sharedStrings.xml><?xml version="1.0" encoding="utf-8"?>
<sst xmlns="http://schemas.openxmlformats.org/spreadsheetml/2006/main" count="795" uniqueCount="467">
  <si>
    <t>Deducciones Generales</t>
  </si>
  <si>
    <t>Enero</t>
  </si>
  <si>
    <t>Febrero</t>
  </si>
  <si>
    <t>Marzo</t>
  </si>
  <si>
    <t>Abril</t>
  </si>
  <si>
    <t>Mayo</t>
  </si>
  <si>
    <t>Junio</t>
  </si>
  <si>
    <t>Julio</t>
  </si>
  <si>
    <t>Agosto</t>
  </si>
  <si>
    <t>Septiembre</t>
  </si>
  <si>
    <t>Octubre</t>
  </si>
  <si>
    <t>Noviembre</t>
  </si>
  <si>
    <t>Diciembre</t>
  </si>
  <si>
    <t>Total</t>
  </si>
  <si>
    <t>Casas Particulares</t>
  </si>
  <si>
    <t>Ints Credito Hipotecario</t>
  </si>
  <si>
    <t>Cuota Medico Asistencial</t>
  </si>
  <si>
    <t>Donaciones</t>
  </si>
  <si>
    <t>NO</t>
  </si>
  <si>
    <t>Año</t>
  </si>
  <si>
    <t>Z. Patagonica</t>
  </si>
  <si>
    <t>Remuneración Bruta Mensual (RBM)</t>
  </si>
  <si>
    <t>Jubilacion</t>
  </si>
  <si>
    <t>INSSJP</t>
  </si>
  <si>
    <t>Obra Social</t>
  </si>
  <si>
    <t>Sindicato</t>
  </si>
  <si>
    <t>Otros descuentos (x Ej: importes fijos)</t>
  </si>
  <si>
    <t>Deducciones Generales Mensual</t>
  </si>
  <si>
    <t>Deducciones Generales Acumuladas</t>
  </si>
  <si>
    <t>Cuota Medico-asistencial</t>
  </si>
  <si>
    <t>Deducciones Personales Mensual</t>
  </si>
  <si>
    <t>Deducciones Personales Acumulada</t>
  </si>
  <si>
    <t>Ganancia Neta Sujeta a Impuesto (mensual)</t>
  </si>
  <si>
    <t>Ganancia Neta Sujeta a Impuesto Acumulada</t>
  </si>
  <si>
    <t>difer GNSI acum</t>
  </si>
  <si>
    <t>Impuesto determinado (acumulado)</t>
  </si>
  <si>
    <t>Total a Retener en el mes</t>
  </si>
  <si>
    <t>Total a Devolver en el mes:</t>
  </si>
  <si>
    <t>Retencion Acumulada</t>
  </si>
  <si>
    <t>Topes para el Calculo de las Deducciones</t>
  </si>
  <si>
    <t>Ganancia No Imponible</t>
  </si>
  <si>
    <t>Tope Anual para deducciones por Gastos de Sepelio</t>
  </si>
  <si>
    <t>Tope Anual para deducciones por Interes Credigo Hipotecario</t>
  </si>
  <si>
    <t>Tope Anual para deducciones por Alquleres</t>
  </si>
  <si>
    <t>Tope en porcentaje para Cuota Medico-asistencial</t>
  </si>
  <si>
    <t>Tope en porcentaje para Facturacion por Asistencia Sanitaria</t>
  </si>
  <si>
    <t>Tope en porcentaje del máximo a deducir por Asistencia Sanitaria</t>
  </si>
  <si>
    <t>Tope en porcentaje del máximo a deducir por Donaciones</t>
  </si>
  <si>
    <t>Tope en porcentaje del aumento de la Deduccion Especial</t>
  </si>
  <si>
    <t>Fijo</t>
  </si>
  <si>
    <t>%</t>
  </si>
  <si>
    <t>*** Modificando los totales Acumulados de Diciembre se actualizará automátimamente el resto de los meses</t>
  </si>
  <si>
    <t>Concepto</t>
  </si>
  <si>
    <t>Conyuge / Conviviente</t>
  </si>
  <si>
    <t>BI Máx aportes</t>
  </si>
  <si>
    <t>Gastos Sepelio  ($996,23 limite)</t>
  </si>
  <si>
    <t>Gastos de Sepelio   (limite x cada carga flia)</t>
  </si>
  <si>
    <t>concurrencia retenido…</t>
  </si>
  <si>
    <t>limite art 7 RG 4003 (35% s/ RB pagada)</t>
  </si>
  <si>
    <t>exención S.A.C.</t>
  </si>
  <si>
    <t>RBM exenta</t>
  </si>
  <si>
    <t>promedio PF anual</t>
  </si>
  <si>
    <t xml:space="preserve">Tope Anual para deducciones por Casas Particulares </t>
  </si>
  <si>
    <t>Tope Anual para deducciones por Servicios o herramientas con fines educativos</t>
  </si>
  <si>
    <t>Serv o herramientas fines educativos</t>
  </si>
  <si>
    <t>GNI</t>
  </si>
  <si>
    <t>Sub-total Deducciones:</t>
  </si>
  <si>
    <t>LIQUIDACION DEL IMPUESTO A LAS GANANCIAS:</t>
  </si>
  <si>
    <t>exencion Bono Produc</t>
  </si>
  <si>
    <t>Aux Ganancia Neta   Acumulada</t>
  </si>
  <si>
    <t>Aux Tope 5% Ganancia Neta Acumulada</t>
  </si>
  <si>
    <t>DEDUCCIONES GENERALES :</t>
  </si>
  <si>
    <t>DEDUCCIONES PERSONALES ART 30 :</t>
  </si>
  <si>
    <t>Deducción Especial [art 30º, inciso c), Apartado 2]   (mes)</t>
  </si>
  <si>
    <t>Saldo a favor de AFIP / Contribuyente      acumulado</t>
  </si>
  <si>
    <t>Deducciones Generales Acumuladas (con Tope del 5%)</t>
  </si>
  <si>
    <t>Impuesto determ acum</t>
  </si>
  <si>
    <t>Retenc acum a dic</t>
  </si>
  <si>
    <t>=</t>
  </si>
  <si>
    <t>-</t>
  </si>
  <si>
    <t>Pagos a Cta totales</t>
  </si>
  <si>
    <t>Devuelto hasta 31/05</t>
  </si>
  <si>
    <t>+</t>
  </si>
  <si>
    <t>Retenido hasta 31/05</t>
  </si>
  <si>
    <t>Pagos a cta limite a devolver:</t>
  </si>
  <si>
    <t>Aportes a Sociedades de garantia Reciproca</t>
  </si>
  <si>
    <t>Corredores y Viajantes. Amortiz impos rodado</t>
  </si>
  <si>
    <t>Corredores y Viajantes. Intereses deuda adquis rodado</t>
  </si>
  <si>
    <t>Corredores y Viajantes. Amortiz impositiva del rodado</t>
  </si>
  <si>
    <t>Corredores y Viajantes. Intereses deuda adquisición rodado</t>
  </si>
  <si>
    <t>Gtos Equipamiento, indum (uso exclusivo lugar tbjo)</t>
  </si>
  <si>
    <t>Grupo para Deducción Especial Incrementada :</t>
  </si>
  <si>
    <t>Poner importe efectivamente retenido o (devuelto)  en el  mes</t>
  </si>
  <si>
    <t>Ganancia Neta    Mensual</t>
  </si>
  <si>
    <t>Ganancia Neta    Acumulada</t>
  </si>
  <si>
    <t>Ded Especial art 30 c) 2]</t>
  </si>
  <si>
    <t>Hijos o Hijastros incapacit</t>
  </si>
  <si>
    <t>Hijos o Hijastros &lt; 18 años</t>
  </si>
  <si>
    <t>Hijos o Hijastros menor de 18 años   (mes)</t>
  </si>
  <si>
    <t>Hijos o Hijastros incapacitado para el trabajo   (mes)</t>
  </si>
  <si>
    <t>Ganancia No Imponible   (mes)</t>
  </si>
  <si>
    <t>Conyuge / Conviviente    (mes)</t>
  </si>
  <si>
    <t>Hs Extras Gravadas Netas   (acumulado)</t>
  </si>
  <si>
    <t>Hs Extras Gravadas Netas   (mensual)</t>
  </si>
  <si>
    <t>Tablas art 94º (%)</t>
  </si>
  <si>
    <t>Ganancia Neta Sujeta Impue Acum -sin Hs Extras Grav Netas-</t>
  </si>
  <si>
    <t>Deducciones Personales. Cargas de Familia.</t>
  </si>
  <si>
    <r>
      <t xml:space="preserve">✓  Deducción por </t>
    </r>
    <r>
      <rPr>
        <b/>
        <sz val="11"/>
        <color rgb="FF000000"/>
        <rFont val="Arial"/>
        <family val="2"/>
      </rPr>
      <t>Hijo/a</t>
    </r>
    <r>
      <rPr>
        <sz val="10"/>
        <color rgb="FF000000"/>
        <rFont val="Arial"/>
        <family val="2"/>
      </rPr>
      <t xml:space="preserve">: computable por ambos progenitores, con las consideraciones ya comentadas.  
✓  Deducción por </t>
    </r>
    <r>
      <rPr>
        <b/>
        <sz val="11"/>
        <color rgb="FF000000"/>
        <rFont val="Arial"/>
        <family val="2"/>
      </rPr>
      <t>Hijastro/a</t>
    </r>
    <r>
      <rPr>
        <sz val="10"/>
        <color rgb="FF000000"/>
        <rFont val="Arial"/>
        <family val="2"/>
      </rPr>
      <t xml:space="preserve">: Computada sólo por el progenitor, salvo que no tenga renta imponible. En este caso deduce el progenitor afín.
</t>
    </r>
  </si>
  <si>
    <r>
      <t>E- DEDUCCIONES PERSONALES.  "</t>
    </r>
    <r>
      <rPr>
        <b/>
        <u/>
        <sz val="10"/>
        <color rgb="FF000000"/>
        <rFont val="Arial"/>
        <family val="2"/>
      </rPr>
      <t>CARGAS DE FAMILIA"</t>
    </r>
    <r>
      <rPr>
        <sz val="10"/>
        <color rgb="FF000000"/>
        <rFont val="Arial"/>
        <family val="2"/>
      </rPr>
      <t xml:space="preserve">.
Respecto a la deducción por hijo, hija, hijastro o hijastra menor de 18 años o incapacitado para el trabajo, se tendrán en cuenta las siguientes consideraciones:  </t>
    </r>
    <r>
      <rPr>
        <b/>
        <sz val="12"/>
        <color rgb="FF000000"/>
        <rFont val="Arial"/>
        <family val="2"/>
      </rPr>
      <t>a)</t>
    </r>
    <r>
      <rPr>
        <sz val="10"/>
        <color rgb="FF000000"/>
        <rFont val="Arial"/>
        <family val="2"/>
      </rPr>
      <t xml:space="preserve"> Cuando la carga de familia sea menor de 18 años, la deducción será computada por quien posea la responsabilidad parental, en los términos del CCCN. Cuando ésta sea ejercida por los 2 progenitores y ambos perciban ganancias imponibles, cada uno podrá computar el 50% del importe de la deducción o uno de ellos el 100% de dicho importe.  </t>
    </r>
    <r>
      <rPr>
        <b/>
        <sz val="12"/>
        <color rgb="FF000000"/>
        <rFont val="Arial"/>
        <family val="2"/>
      </rPr>
      <t>b)</t>
    </r>
    <r>
      <rPr>
        <sz val="10"/>
        <color rgb="FF000000"/>
        <rFont val="Arial"/>
        <family val="2"/>
      </rPr>
      <t xml:space="preserve"> De tratarse de un hijo, hija, hijastro o hijastra incapacitados para el trabajo, cualquiera sea la edad, la deducción incrementada en una vez por cada uno será computada por el pariente más cercano, que tenga ganancias imponibles y a cuyo cargo esté la citada carga de familia. Cuando ambos progenitores obtengan ganancias imponibles y lo tengan a su cargo, cada uno podrá computar el 50% del importe de la deducción o uno de ellos el 100% de dicho importe.
</t>
    </r>
  </si>
  <si>
    <t>¿Paga el sueldo en el mismo mes del devengamiento?</t>
  </si>
  <si>
    <t>LIQUIDACION DE GANANCIAS DE CUARTA CATEGORIA: CRITERIO IMPUTACIÓN "PERCIBIDO"</t>
  </si>
  <si>
    <t>Periodo "percibido" :</t>
  </si>
  <si>
    <t>40% GNI</t>
  </si>
  <si>
    <t>Total Deducciones Generales Acumuladas:</t>
  </si>
  <si>
    <t>Deducciones Generales Mensual (con Tope del 5%)</t>
  </si>
  <si>
    <t>Deducciones Personales Acumuladas:</t>
  </si>
  <si>
    <t>Ganancia No Imponible   (acumulada)</t>
  </si>
  <si>
    <t>Conyuge / Conviviente    (acumulada)</t>
  </si>
  <si>
    <t>Hijos o Hijastros menor de 18 años   (acumulada)</t>
  </si>
  <si>
    <t>Hijos o Hijastros incapacitado para el trabajo   (acumulada)</t>
  </si>
  <si>
    <t>Deducción Especial [art 30º, inciso c), Ap 2]   (acumulada)</t>
  </si>
  <si>
    <t>Ap fondos Jubilación, Retiros, Pens o Subs al ANSES</t>
  </si>
  <si>
    <t>Aporte Cajas Provinc o Munic o de Prevision p/ Profesi</t>
  </si>
  <si>
    <t>Auxiliar Ganancia Neta  mensual p/ ded pers</t>
  </si>
  <si>
    <t>40% del Alquiler de Inmueble p/ casa habitación</t>
  </si>
  <si>
    <t>Importe Conyuge mensual</t>
  </si>
  <si>
    <t>Importe hijo menor 18 mensual</t>
  </si>
  <si>
    <t>Importe hijo incapacitado trabajo mensual</t>
  </si>
  <si>
    <t>Importe Conyuge acumulado</t>
  </si>
  <si>
    <t>Importe hijo menor 18 acumulado</t>
  </si>
  <si>
    <t>Importe hijo incapacitado trabajo acumulado</t>
  </si>
  <si>
    <t>GNI mensual</t>
  </si>
  <si>
    <t>GNI acumulada</t>
  </si>
  <si>
    <t>Deducción Especial [art 30º, inciso c), Apartado 2] mensual</t>
  </si>
  <si>
    <t>Deducción Especial [art 30º, inciso c), Apartado 2] acum</t>
  </si>
  <si>
    <t>Ded Personales Beneficiario</t>
  </si>
  <si>
    <t>GRAVADO</t>
  </si>
  <si>
    <t>EXENTO / NO ALCANZADO</t>
  </si>
  <si>
    <t>REMUNERACIONES</t>
  </si>
  <si>
    <t>Abonadas por el agente de retención</t>
  </si>
  <si>
    <t>Remuneración bruta gravada</t>
  </si>
  <si>
    <t>Retribuciones no habituales gravadas</t>
  </si>
  <si>
    <t>Horas extras remuneración gravada</t>
  </si>
  <si>
    <t>Movilidad y viáticos remuneración gravada</t>
  </si>
  <si>
    <t>Material didáctico personal docente remuneración gravada</t>
  </si>
  <si>
    <t>Bonos de productividad gravados</t>
  </si>
  <si>
    <t>Fallos de caja gravados</t>
  </si>
  <si>
    <t>Conceptos de similar naturaleza gravados</t>
  </si>
  <si>
    <t>Retribuciones no habituales exentas o no alcanzadas</t>
  </si>
  <si>
    <t>Horas extras remuneración exenta</t>
  </si>
  <si>
    <t>Material didáctico personal docente remuneración exenta o no alcanzada</t>
  </si>
  <si>
    <t>Bonos de productividad exentos</t>
  </si>
  <si>
    <t>Fallos de caja exentos</t>
  </si>
  <si>
    <t>Conceptos de similar naturaleza exentos</t>
  </si>
  <si>
    <t>Suplementos particulares artículo 57 de la Ley N° 19.101 exentos</t>
  </si>
  <si>
    <t>Compensación gastos de teletrabajo exentos</t>
  </si>
  <si>
    <t>Ajustes períodos anteriores - Remuneración gravada</t>
  </si>
  <si>
    <t>Ajustes períodos anteriores - Remuneración exenta / no alcanzada</t>
  </si>
  <si>
    <t>Otros Empleos</t>
  </si>
  <si>
    <t>Remuneración Bruta Gravada</t>
  </si>
  <si>
    <t>Bonos de produtividad gravados</t>
  </si>
  <si>
    <t xml:space="preserve">Remuneración Exenta o no alcanzada </t>
  </si>
  <si>
    <t>RBM (Otros Empleos)      -SIN SAC-</t>
  </si>
  <si>
    <t>RBM (agente de retención)      -SIN SAC-</t>
  </si>
  <si>
    <t>TOTAL REMUNERACIÓN GRAVADA</t>
  </si>
  <si>
    <t>TOTAL REMUNERACIÓN EXENTA O NO ALCANZADA</t>
  </si>
  <si>
    <t>TOTAL REMUNERACIONES</t>
  </si>
  <si>
    <t>Promedio RBM al mes</t>
  </si>
  <si>
    <t xml:space="preserve">Aportes Seguridad Social </t>
  </si>
  <si>
    <t>Aportes Obra Social</t>
  </si>
  <si>
    <t>Aporte Sindical</t>
  </si>
  <si>
    <t>Sub- Total Desucciones de Otros Empleos:</t>
  </si>
  <si>
    <t>S.A.C. Real pagado -&gt;   ( agente de retencion)</t>
  </si>
  <si>
    <t>S.A.C. Real pagado -&gt;   ( Otros Empleos  s/ SiRADIG)</t>
  </si>
  <si>
    <t>SAC bruto Gravado</t>
  </si>
  <si>
    <t>SAC bruto Exento</t>
  </si>
  <si>
    <t>SAC bruto</t>
  </si>
  <si>
    <t>el menor:</t>
  </si>
  <si>
    <t>Base de Calculo Aportes:</t>
  </si>
  <si>
    <t>Retribuciones no habituales gravadas (agente ret)</t>
  </si>
  <si>
    <t>Bono Productividad Gravados (agente ret)</t>
  </si>
  <si>
    <t>Retribuciones no habituales gravadas (agente ret)  Acum.</t>
  </si>
  <si>
    <t>Bono Productividad Gravados (agente ret)  Acum</t>
  </si>
  <si>
    <t>Fallos de caja gravados (agente ret)</t>
  </si>
  <si>
    <t>Fallos de caja gravados (agente ret)  Acum</t>
  </si>
  <si>
    <t>Conceptos de similar naturaleza gravados (agente ret)</t>
  </si>
  <si>
    <t>Conceptos de similar naturaleza gravados (agente ret)   Acum</t>
  </si>
  <si>
    <t>Retribuciones no habituales gravadas (otros empleos)</t>
  </si>
  <si>
    <t>Retribuciones no habituales gravadas (otros empleos)  Acum</t>
  </si>
  <si>
    <t>Bonos de produtividad gravados (otros empleos)</t>
  </si>
  <si>
    <t>Bonos de produtividad gravados (otros empleos)  Acum</t>
  </si>
  <si>
    <t>Fallos de caja gravados (otros empleos)</t>
  </si>
  <si>
    <t>Fallos de caja gravados (otros empleos)  Acum</t>
  </si>
  <si>
    <t>Conceptos de similar naturaleza gravados (otros empleos)</t>
  </si>
  <si>
    <t>Conceptos de similar naturaleza gravados (otros empleos)   Acum</t>
  </si>
  <si>
    <t>Ajustes períodos anteriores - Remuneración gravada (otros empleos)</t>
  </si>
  <si>
    <t>Ajustes períodos anteriores - Remuneración gravada (otros empleos)  Acum</t>
  </si>
  <si>
    <t>12va parte del SAC gravado  (agente de retencion)</t>
  </si>
  <si>
    <t>Total Aportes 12va parte SAC  agente de retencion</t>
  </si>
  <si>
    <t>SAC grav. Neto 12va parte  agente de retencion</t>
  </si>
  <si>
    <t>12va parte del SAC gravado  (otros empleos)</t>
  </si>
  <si>
    <t>RBM</t>
  </si>
  <si>
    <t>tope base SAC p/ aportes:</t>
  </si>
  <si>
    <t>Base de Calculo (RBM)  otros empleos:</t>
  </si>
  <si>
    <t>TOTAL REMUNERACIÓN GRAVADA MENSUAL</t>
  </si>
  <si>
    <t>Aportes Seguridad Social   otros empleos</t>
  </si>
  <si>
    <t>Aportes Obra Social  otros empleos</t>
  </si>
  <si>
    <t>Aporte Sindical  otros empleos</t>
  </si>
  <si>
    <t>Retribuciones no habituales gravadas   (remunerativo)</t>
  </si>
  <si>
    <t>Remuneración exenta o no alcanzada    (remunerativo)</t>
  </si>
  <si>
    <t>Retribuciones no habituales exentas o no alcanzadas   (remunerativo)</t>
  </si>
  <si>
    <t>Ajustes períodos anteriores - Remuneración gravada   (remunerativo)</t>
  </si>
  <si>
    <t>Ajustes períodos anteriores - Remuneración exenta / no alcanzada    (remunerativo)</t>
  </si>
  <si>
    <t>Remuneración bruta gravada   (No remunerativo)</t>
  </si>
  <si>
    <t>Retribuciones no habituales gravadas   (No remunerativo)</t>
  </si>
  <si>
    <t>Retribuciones no habituales gravadas No remunerativo   (agente ret)</t>
  </si>
  <si>
    <t>Retribuciones no habituales gravadas No remunerativo  (agente ret)  Acum</t>
  </si>
  <si>
    <t>Remuneración exenta o no alcanzada    (No remunerativo)</t>
  </si>
  <si>
    <t>Retribuciones no habituales exentas o no alcanzadas   (No remunerativo)</t>
  </si>
  <si>
    <t xml:space="preserve">Fallos de caja exentos  </t>
  </si>
  <si>
    <t>Ajustes períodos anteriores - Remuneración gravada   (No remunerativo)</t>
  </si>
  <si>
    <t>Ajustes períodos anteriores - Remuneración exenta / no alcanzada    (No remunerativo)</t>
  </si>
  <si>
    <t>Ajustes períodos anteriores - Remuneración gravada No remun  (agente ret)</t>
  </si>
  <si>
    <t>Ajustes períodos anteriores - Remuneración gravada No remun  (agente ret)  Acum</t>
  </si>
  <si>
    <t>DEDUCCIONES</t>
  </si>
  <si>
    <t>Base de Calculo Aportes (sugerido) :</t>
  </si>
  <si>
    <t>Tope Base Aportes :</t>
  </si>
  <si>
    <t>TOTAL REMUNERACIÓN EXENTA O NO ALCANZADA  (sólo total)</t>
  </si>
  <si>
    <t>TOTAL REMUNERACIONES  (sólo total)</t>
  </si>
  <si>
    <t>TOTAL REMUNERACIÓN EXENTA O NO ALCANZADA   (sólo total)</t>
  </si>
  <si>
    <t>Tope Base aportes (agente retención) :</t>
  </si>
  <si>
    <t>menor :</t>
  </si>
  <si>
    <t>Base Imponible aportes grav  (agente retencion) :</t>
  </si>
  <si>
    <t>R</t>
  </si>
  <si>
    <t>NR</t>
  </si>
  <si>
    <t>R ó NR</t>
  </si>
  <si>
    <t>Total Deducciones Generales mensual:</t>
  </si>
  <si>
    <t>¿aplica lim 35% en la anual?</t>
  </si>
  <si>
    <t>Neto SAC  REAL  (agente retención):</t>
  </si>
  <si>
    <r>
      <t xml:space="preserve">Prorrateo de la 12va parte del SAC gravado  </t>
    </r>
    <r>
      <rPr>
        <b/>
        <sz val="10"/>
        <color rgb="FF7030A0"/>
        <rFont val="Arial"/>
        <family val="2"/>
      </rPr>
      <t>(Bruto)</t>
    </r>
    <r>
      <rPr>
        <sz val="10"/>
        <color rgb="FF7030A0"/>
        <rFont val="Arial"/>
        <family val="2"/>
        <charset val="1"/>
      </rPr>
      <t xml:space="preserve">   agente retencion</t>
    </r>
  </si>
  <si>
    <r>
      <t xml:space="preserve">Prorrateo de la 12va parte del SAC gravado  </t>
    </r>
    <r>
      <rPr>
        <b/>
        <sz val="10"/>
        <color rgb="FF7030A0"/>
        <rFont val="Arial"/>
        <family val="2"/>
      </rPr>
      <t>(Bruto)</t>
    </r>
    <r>
      <rPr>
        <sz val="10"/>
        <color rgb="FF7030A0"/>
        <rFont val="Arial"/>
        <family val="2"/>
        <charset val="1"/>
      </rPr>
      <t xml:space="preserve">   otros empleos</t>
    </r>
  </si>
  <si>
    <t xml:space="preserve"> ---  el menor  ---</t>
  </si>
  <si>
    <t>DEDUCCIONES   (del Agente de Retención):</t>
  </si>
  <si>
    <t>DEDUCCIONES   (de Otros Empleos, s/ SiRADIG):</t>
  </si>
  <si>
    <t>TOTAL REMUNERACIÓN GRAVADA (ANTES DE 12va PARTE SAC)</t>
  </si>
  <si>
    <t>TOTAL REMUNERACIONES  (ANTES DE 12va PARTE SAC)  (sólo total)</t>
  </si>
  <si>
    <t>Remuneración exenta o no alcanzada</t>
  </si>
  <si>
    <t>Exento</t>
  </si>
  <si>
    <t>SAC primera cuota gravado</t>
  </si>
  <si>
    <t>SAC primera cuota - Exento o no alcanzado</t>
  </si>
  <si>
    <t>SAC segunda cuota gravado</t>
  </si>
  <si>
    <t>SAC segunda cuota - Exento o no alcanzado</t>
  </si>
  <si>
    <t>Ot Emp SAC primera cuota gravado</t>
  </si>
  <si>
    <t>Ot Emp SAC segunda cuota gravado</t>
  </si>
  <si>
    <t>Ot Emp SAC primera cuota - Exento o no alcanzado</t>
  </si>
  <si>
    <t>Ot Emp SAC segunda cuota - Exento o no alcanzado</t>
  </si>
  <si>
    <t>Ot Emp Remuneración Bruta Gravada</t>
  </si>
  <si>
    <t>Ot Emp Retribuciones no habituales gravadas</t>
  </si>
  <si>
    <t>Ot Emp Horas extras remuneración gravada</t>
  </si>
  <si>
    <t>Ot Emp Movilidad y viáticos remuneración gravada</t>
  </si>
  <si>
    <t>Ot Emp Material didáctico personal docente remuneración gravada</t>
  </si>
  <si>
    <t>Ot Emp Bonos de produtividad gravados</t>
  </si>
  <si>
    <t>Ot Emp Fallos de caja gravados</t>
  </si>
  <si>
    <t>Ot Emp Conceptos de similar naturaleza gravados</t>
  </si>
  <si>
    <t xml:space="preserve">Ot Emp Remuneración Exenta o no alcanzada </t>
  </si>
  <si>
    <t>Ot Emp Retribuciones no habituales exentas o no alcanzadas</t>
  </si>
  <si>
    <t>Ot Emp Horas extras remuneración exenta</t>
  </si>
  <si>
    <t>Ot Emp Material didáctico personal docente remuneración exenta o no alcanzada</t>
  </si>
  <si>
    <t>Ot Emp Bonos de productividad exentos</t>
  </si>
  <si>
    <t>Ot Emp Fallos de caja exentos</t>
  </si>
  <si>
    <t>Ot Emp Conceptos de similar naturaleza exentos</t>
  </si>
  <si>
    <t>Ot Emp Suplementos particulares artículo 57 de la Ley N° 19.101 exentos</t>
  </si>
  <si>
    <t>Ot Emp Compensación gastos de teletrabajo exentos</t>
  </si>
  <si>
    <t>Ot Emp Ajustes períodos anteriores - Remuneración gravada</t>
  </si>
  <si>
    <t>Ot Emp Ajustes períodos anteriores - Remuneración exenta / no alcanzada</t>
  </si>
  <si>
    <t>Aportes a fondos de jubilaciones, retiros, pensiones o subsidios que se destinen a cajas nacionales, provinciales o municipales</t>
  </si>
  <si>
    <t>Aportes a fondos de jubilaciones, retiros, pensiones o subsidios que se destinen a cajas nacionales, provinciales o municipales por otros empleos</t>
  </si>
  <si>
    <t>Aportes a obras sociales</t>
  </si>
  <si>
    <t>Aportes a obras sociales por otros empleos</t>
  </si>
  <si>
    <t>Cuota sindical</t>
  </si>
  <si>
    <t>Cuota sindical por otros empleos</t>
  </si>
  <si>
    <t>Cuotas médicos asistenciales</t>
  </si>
  <si>
    <t>Primas de seguro para el caso de muerte</t>
  </si>
  <si>
    <t>Primas de seguro por riesgo de muerte y de ahorro mixtos, excepto para los casos de seguros de retiro privados administrados por entidades sujetas al control de la Superintendencia de Seguros de la Nación</t>
  </si>
  <si>
    <t xml:space="preserve">Aportes a planes de seguro de retiro privados administrados por entidades sujetas al control de la Superintendencia de Seguros de la Nación </t>
  </si>
  <si>
    <t>Cuotapartes de fondos comunes de inversión constituidos con fines de retiro</t>
  </si>
  <si>
    <t>Gastos de sepelio</t>
  </si>
  <si>
    <t>Gastos de amortización e intereses de rodados de corredores y viajantes de comercio</t>
  </si>
  <si>
    <t>Donaciones a fiscos nacionales, provinciales y municipales y a instituciones comprendidas en los incisos e) y f) del artículo 26 de la Ley de Impuesto a las Ganancias</t>
  </si>
  <si>
    <t>Aportes a Cajas Complementarias de Previsión, Fondos Compensadores de Previsión o similares</t>
  </si>
  <si>
    <t>Honorarios por servicios de asistencia sanitaria, médica y paramédica</t>
  </si>
  <si>
    <t>Intereses de créditos hipotecarios</t>
  </si>
  <si>
    <t>Aportes al capital social o al fondo de riesgo de socios protectores de sociedades de garantía recíproca</t>
  </si>
  <si>
    <t>Alquiler de inmuebles destinados a casa habitación</t>
  </si>
  <si>
    <t>Remuneraciones y Aportes a Empleadores del Servicio Doméstico</t>
  </si>
  <si>
    <t>Gastos de movilidad, viáticos y otras compensaciones análogas abonados por el empleador</t>
  </si>
  <si>
    <t>Gastos de movilidad, viáticos y otras compensaciones análogas abonados por el empleador de actividades de transporte de larga distancia</t>
  </si>
  <si>
    <t>Gastos de movilidad, viáticos y otras compensaciones análogas abonados por el empleador para actividades de transporte de carga de larga distancia</t>
  </si>
  <si>
    <t>Gastos por adquisición de indumentaria y/o equipamiento de trabajo</t>
  </si>
  <si>
    <t>Gastos de servicios con fines educativos y herramientas destinadas a ese fin</t>
  </si>
  <si>
    <t>TOTAL DE DEDUCCIONES GENERALES</t>
  </si>
  <si>
    <t>Ganancias no Imponible</t>
  </si>
  <si>
    <t>Cónyugue/Unión Convivencial</t>
  </si>
  <si>
    <t>Deducción total hijos/as e hijastros/as</t>
  </si>
  <si>
    <t>Deducción Especial</t>
  </si>
  <si>
    <t>TOTAL DEDUCCIONES PERSONALES</t>
  </si>
  <si>
    <t xml:space="preserve">REMUNERACIÓN SUJETA A IMPUESTO </t>
  </si>
  <si>
    <t>Alícuota aplicable sin incluir horas extras</t>
  </si>
  <si>
    <t>Alícuota aplicable artículo 94 de la Ley de Impuesto a las Ganancias</t>
  </si>
  <si>
    <t>IMPUESTO DETERMINADO</t>
  </si>
  <si>
    <t>Impuesto retenido</t>
  </si>
  <si>
    <t>Pagos a cuenta</t>
  </si>
  <si>
    <t>SALDO A PAGAR</t>
  </si>
  <si>
    <t>Remun No Habituales Acumuladas (agente retencion)</t>
  </si>
  <si>
    <t>Base remun, p/ proporc 12va parte SAC (agente retenc)</t>
  </si>
  <si>
    <t>Remuneración exenta Ley N° 27.718</t>
  </si>
  <si>
    <t>Ot Emp Remuneración exenta Ley N° 27.718</t>
  </si>
  <si>
    <t>(%) Deducciones Legales (Agente de retención)</t>
  </si>
  <si>
    <t>Total (%)</t>
  </si>
  <si>
    <r>
      <t xml:space="preserve">Hijos o Hijastros incapacitado para el trabajo    </t>
    </r>
    <r>
      <rPr>
        <b/>
        <sz val="10"/>
        <color theme="2" tint="-0.89999084444715716"/>
        <rFont val="Arial"/>
        <family val="2"/>
      </rPr>
      <t>50%</t>
    </r>
  </si>
  <si>
    <r>
      <t xml:space="preserve">Hijos o Hijastros incapacitado para el trabajo    </t>
    </r>
    <r>
      <rPr>
        <b/>
        <sz val="10"/>
        <color theme="2" tint="-0.89999084444715716"/>
        <rFont val="Arial"/>
        <family val="2"/>
      </rPr>
      <t>100%</t>
    </r>
  </si>
  <si>
    <r>
      <t xml:space="preserve">Hijos o Hijastros menor de 18 años       </t>
    </r>
    <r>
      <rPr>
        <b/>
        <sz val="10"/>
        <color theme="2" tint="-0.89999084444715716"/>
        <rFont val="Arial"/>
        <family val="2"/>
      </rPr>
      <t>50%</t>
    </r>
  </si>
  <si>
    <r>
      <t xml:space="preserve">Hijos o Hijastros menor de 18 años       </t>
    </r>
    <r>
      <rPr>
        <b/>
        <sz val="10"/>
        <color theme="2" tint="-0.89999084444715716"/>
        <rFont val="Arial"/>
        <family val="2"/>
      </rPr>
      <t>100%</t>
    </r>
  </si>
  <si>
    <t>H o NH</t>
  </si>
  <si>
    <t>H</t>
  </si>
  <si>
    <t>NH</t>
  </si>
  <si>
    <t>Ajustes períodos anteriores - Remuneración gravada  remunerativo  (agente ret)</t>
  </si>
  <si>
    <t>Ajustes períodos anteriores - Remuneración gravada  remun  (ag ret)   Acum</t>
  </si>
  <si>
    <t>Zona Patagónica</t>
  </si>
  <si>
    <t>Baja (sólo completar por baja)</t>
  </si>
  <si>
    <t>Consideración SAC Real</t>
  </si>
  <si>
    <t>Razon Social del agente retencion</t>
  </si>
  <si>
    <t>CUIT:</t>
  </si>
  <si>
    <t>Nombre y apellido trabajador/a</t>
  </si>
  <si>
    <t>CUIL:</t>
  </si>
  <si>
    <r>
      <rPr>
        <b/>
        <sz val="11"/>
        <rFont val="Arial"/>
        <family val="2"/>
      </rPr>
      <t>REMUNERACIONES</t>
    </r>
  </si>
  <si>
    <r>
      <rPr>
        <sz val="10"/>
        <rFont val="Arial"/>
        <family val="2"/>
      </rPr>
      <t>Abonadas por el Agente de Retención:</t>
    </r>
  </si>
  <si>
    <t>Movilidad y viáticos remuneración exenta o no alcanzada</t>
  </si>
  <si>
    <t>Personal Militar - Suplementos Art. 57 Ley 19.101 - exentos</t>
  </si>
  <si>
    <r>
      <rPr>
        <sz val="10"/>
        <rFont val="Arial"/>
        <family val="2"/>
      </rPr>
      <t>Horas extras remuneración gravada</t>
    </r>
  </si>
  <si>
    <r>
      <rPr>
        <sz val="10"/>
        <rFont val="Arial"/>
        <family val="2"/>
      </rPr>
      <t>Movilidad y viáticos remuneración gravada</t>
    </r>
  </si>
  <si>
    <r>
      <rPr>
        <sz val="10"/>
        <rFont val="Arial"/>
        <family val="2"/>
      </rPr>
      <t>Material didáctico personal docente remuneración gravada</t>
    </r>
  </si>
  <si>
    <t>Fallos de caia gravados</t>
  </si>
  <si>
    <t>Remuneración Exenta o no alcanzada</t>
  </si>
  <si>
    <t>Suplementos particulares art. 57 de la L. 19101 exentos</t>
  </si>
  <si>
    <t>TOTAL REMUNERACIÓN NO ALCANZADA O EXENTA</t>
  </si>
  <si>
    <t>DEDUCCIONES GENERALES</t>
  </si>
  <si>
    <t>A portes a fondos de jubilaciones, retiros, pensiones o subsidios que se destinen a cajas nacionales, provinciales o municipales por otros empleos</t>
  </si>
  <si>
    <r>
      <rPr>
        <sz val="10"/>
        <rFont val="Arial"/>
        <family val="2"/>
      </rPr>
      <t>Cuota sindical</t>
    </r>
  </si>
  <si>
    <r>
      <rPr>
        <sz val="10"/>
        <rFont val="Arial"/>
        <family val="2"/>
      </rPr>
      <t>Cuota sindical por otros empleos</t>
    </r>
  </si>
  <si>
    <r>
      <rPr>
        <sz val="10"/>
        <rFont val="Arial"/>
        <family val="2"/>
      </rPr>
      <t>Primas por riesgo de  muerte y de  ahorro de  seguros mixtos,</t>
    </r>
  </si>
  <si>
    <t>Aportes a planes de seguro de retiro privados administrados por entidades sujetas al control de la Superintendencia de Seguros de la Nación</t>
  </si>
  <si>
    <t>Donaciones a fiscos nacionales, provinciales y municipales ya instituciones comprendidas en los incisos e) y f) del artículo 26 de la Ley de Impuesto a las Ganancias</t>
  </si>
  <si>
    <t>Descuentos obligatorios establecidos por ley nacional, provincial o municipal</t>
  </si>
  <si>
    <t>Otras deducciones</t>
  </si>
  <si>
    <r>
      <rPr>
        <b/>
        <sz val="10"/>
        <rFont val="Arial"/>
        <family val="2"/>
      </rPr>
      <t>DEDUCCIONES PERSONALES</t>
    </r>
  </si>
  <si>
    <t>Cargas de familia</t>
  </si>
  <si>
    <t>Cónyuge/Unión Convivencial</t>
  </si>
  <si>
    <t>Cantidad de hijos/as e hijastros/as</t>
  </si>
  <si>
    <t>Cantidad de hijos/as e hijastros/as incapacitados para el trabajo</t>
  </si>
  <si>
    <t>Deducción total hijos/as e hiiastros/as</t>
  </si>
  <si>
    <t>TOTAL CARGAS DE FAMILIA</t>
  </si>
  <si>
    <t>Deducción especial</t>
  </si>
  <si>
    <r>
      <rPr>
        <sz val="10"/>
        <rFont val="Arial"/>
        <family val="2"/>
      </rPr>
      <t>Deducción específica</t>
    </r>
  </si>
  <si>
    <t>DETERMINACIÓN DEL IMPUESTO</t>
  </si>
  <si>
    <t>REMUNERACIÓN SUJETA A IMPUESTO</t>
  </si>
  <si>
    <t>Otros Empleos:</t>
  </si>
  <si>
    <t>EXE</t>
  </si>
  <si>
    <t>Completar lo que tiene fondo GRIS</t>
  </si>
  <si>
    <t>*** Los datos en color azul y fondo gris, son modificables e influyen en el cálculo del impuesto</t>
  </si>
  <si>
    <t>Quitado prorrateado 12va parte</t>
  </si>
  <si>
    <t>Quitado prorrateado 12va parte - Aportes Jubilación</t>
  </si>
  <si>
    <t>Quitado prorrateado 12va parte - Aportes INSSJP</t>
  </si>
  <si>
    <t>Quitado prorrateado 12va parte - Aportes OS</t>
  </si>
  <si>
    <t>Quitado prorrateado 12va parte - Aportes Sind</t>
  </si>
  <si>
    <t>Quitado prorrateado 12va parte - Otros Descuentos</t>
  </si>
  <si>
    <t>dividido en 2 semestres</t>
  </si>
  <si>
    <t>SI</t>
  </si>
  <si>
    <t>Ganancia Neta Sujeta Impue MENSUAL -sin Hs Extras Grav Netas-</t>
  </si>
  <si>
    <t>Impuesto determinado (MENSUAL)</t>
  </si>
  <si>
    <t>LIQUIDACION ANUAL</t>
  </si>
  <si>
    <t>Pagos a Cuenta totales (ret/perc)   --&gt;  (liq anual o final)  :</t>
  </si>
  <si>
    <t>Aux Ganancia Neta MENSUAL -para 5%-</t>
  </si>
  <si>
    <t>5% mensual</t>
  </si>
  <si>
    <t>Reemplazo por SAC gravado Real</t>
  </si>
  <si>
    <t>Agregado SAC gravado Real</t>
  </si>
  <si>
    <t>Agregado Real - Aportes Jubilación s/ grav.</t>
  </si>
  <si>
    <t>Agregado Real - Aportes INSSJP s/ grav.</t>
  </si>
  <si>
    <t>Agregado Real - Aportes OS s/ grav.</t>
  </si>
  <si>
    <t>Agregado Real - Aportes Sind s/ grav.</t>
  </si>
  <si>
    <t>Agregado Real - Otros Descuentos s/ grav.</t>
  </si>
  <si>
    <r>
      <t xml:space="preserve">Quitado prorrateado 12va parte </t>
    </r>
    <r>
      <rPr>
        <b/>
        <sz val="10"/>
        <color rgb="FFFF0000"/>
        <rFont val="Arial"/>
        <family val="2"/>
      </rPr>
      <t>OE</t>
    </r>
  </si>
  <si>
    <r>
      <t xml:space="preserve">Agregado SAC gravado Real </t>
    </r>
    <r>
      <rPr>
        <b/>
        <sz val="10"/>
        <color rgb="FFFF0000"/>
        <rFont val="Arial"/>
        <family val="2"/>
      </rPr>
      <t>OE</t>
    </r>
  </si>
  <si>
    <t>a tomar:</t>
  </si>
  <si>
    <t xml:space="preserve">Primas de Seguro para casos de muerte         </t>
  </si>
  <si>
    <t xml:space="preserve">Primas riesgo de muerte y primas de ahorro   </t>
  </si>
  <si>
    <t xml:space="preserve">Adq cuotapartes FCI con fines de retiro           </t>
  </si>
  <si>
    <t xml:space="preserve">Aportes planes seguro Retiro Privado ctrol SSN </t>
  </si>
  <si>
    <t xml:space="preserve">40% de facturado Gastos Médicos y Paraméd  </t>
  </si>
  <si>
    <t xml:space="preserve">Primas de Seguro para casos de muerte                                                     (anual) </t>
  </si>
  <si>
    <t>Primas riesgo de muerte y primas de ahorro                                                (anual)</t>
  </si>
  <si>
    <t>Adq cuotapartes FCI con fines de retiro                                                       (anual)</t>
  </si>
  <si>
    <t>40% de facturado Gastos Médicos y Paramédicos                                       (anual)</t>
  </si>
  <si>
    <t>Aportes planes seguro Retiro Privado ctrol SSN                                            (anual)</t>
  </si>
  <si>
    <t>Pagos a Cuenta p/ liq anual:</t>
  </si>
  <si>
    <t>retenido hasta dic:</t>
  </si>
  <si>
    <t>Pago a Cta computable (Anual)</t>
  </si>
  <si>
    <t>SAC dividido en 2 sem.</t>
  </si>
  <si>
    <t>SAC dividido en 2 sem</t>
  </si>
  <si>
    <t>Pagos a cuenta total</t>
  </si>
  <si>
    <t>Tope Anual para deducciones por Prima Seguro  --&gt;  actualiz IPC oct/oct ant</t>
  </si>
  <si>
    <t>Tope Anual para deducciones por planes de seguro de retiro privados  --&gt;  actualiz IPC oct/oct ant</t>
  </si>
  <si>
    <t>Promedio para S.A.C.  (por semestre)</t>
  </si>
  <si>
    <t>Promedio para Bono Productividad (periodo fiscal anual)</t>
  </si>
  <si>
    <t>Total Devol x actualiz en el año:</t>
  </si>
  <si>
    <t>Ded Personales Anuales (art. 30º LIG).  Actualiz: Ene y Jul  (Sep24 excepcional)</t>
  </si>
  <si>
    <r>
      <t xml:space="preserve">* </t>
    </r>
    <r>
      <rPr>
        <b/>
        <sz val="10"/>
        <color rgb="FFFF0000"/>
        <rFont val="Arial"/>
        <family val="2"/>
      </rPr>
      <t>Ene</t>
    </r>
    <r>
      <rPr>
        <sz val="10"/>
        <color rgb="FFFF0000"/>
        <rFont val="Arial"/>
        <family val="2"/>
      </rPr>
      <t>: IPC jul a dic</t>
    </r>
  </si>
  <si>
    <t>Actualización semestral para: ded pers art 30 + tabla art 94</t>
  </si>
  <si>
    <r>
      <t xml:space="preserve">* </t>
    </r>
    <r>
      <rPr>
        <b/>
        <sz val="10"/>
        <color rgb="FF000000"/>
        <rFont val="Arial"/>
        <family val="2"/>
      </rPr>
      <t>Sep (excep)</t>
    </r>
    <r>
      <rPr>
        <sz val="10"/>
        <color rgb="FF000000"/>
        <rFont val="Arial"/>
        <family val="2"/>
        <charset val="1"/>
      </rPr>
      <t>: IPC jun a ago</t>
    </r>
  </si>
  <si>
    <t>diciembre</t>
  </si>
  <si>
    <t>fijo</t>
  </si>
  <si>
    <t xml:space="preserve">Alícuota y Fijo del Impuesto a las Ganancias por Tramos Acumulados  (art 94º LIG). </t>
  </si>
  <si>
    <t xml:space="preserve">Horas extras </t>
  </si>
  <si>
    <t>Gastos Movilidad</t>
  </si>
  <si>
    <t>Gastos Viaticos</t>
  </si>
  <si>
    <t>Gastos otras compensaciones análogas</t>
  </si>
  <si>
    <t>Material didáctico personal docente</t>
  </si>
  <si>
    <t xml:space="preserve">Bonos de productividad </t>
  </si>
  <si>
    <t>Fallos de caja</t>
  </si>
  <si>
    <t xml:space="preserve">Conceptos de similar naturaleza </t>
  </si>
  <si>
    <t xml:space="preserve">Bonos de produtividad </t>
  </si>
  <si>
    <t xml:space="preserve">Fallos de caja </t>
  </si>
  <si>
    <t>poner "manual" (nunca x formula, por cambios posteriores)</t>
  </si>
  <si>
    <t>Ded Especial XX art 90 Ley 27.743</t>
  </si>
  <si>
    <t>Bonos de productividad</t>
  </si>
  <si>
    <t>Conceptos de similar naturaleza</t>
  </si>
  <si>
    <t>Horas extras</t>
  </si>
  <si>
    <t>Movilidad y viáticos</t>
  </si>
  <si>
    <t>Bonos de produtividad</t>
  </si>
  <si>
    <t>VER SI SIGUE EL PRORRATEO DEL SAC !!!!!!!</t>
  </si>
  <si>
    <t>Deducción Especial 12va parte a) b) y c) art 30º</t>
  </si>
  <si>
    <t>Deducción Especial 12va parte a) b) y c) art 30º    (acumulada)</t>
  </si>
  <si>
    <t>Deducción Especial 12va parte</t>
  </si>
  <si>
    <t>GNSI junio ley 27.725:</t>
  </si>
  <si>
    <t>GNSI junio ley 27.743:</t>
  </si>
  <si>
    <t>Anual</t>
  </si>
  <si>
    <r>
      <t xml:space="preserve">se completan x lo </t>
    </r>
    <r>
      <rPr>
        <b/>
        <u/>
        <sz val="10"/>
        <color rgb="FF000000"/>
        <rFont val="Arial"/>
        <family val="2"/>
      </rPr>
      <t>devengado</t>
    </r>
    <r>
      <rPr>
        <sz val="10"/>
        <color rgb="FF000000"/>
        <rFont val="Arial"/>
        <family val="2"/>
      </rPr>
      <t>:</t>
    </r>
  </si>
  <si>
    <t>importe mensual</t>
  </si>
  <si>
    <t>cant mensual</t>
  </si>
  <si>
    <t>Aportes:</t>
  </si>
  <si>
    <t>Remuneración bruta:</t>
  </si>
  <si>
    <t>Sueldo Neto (antes de Imp Ganancias)</t>
  </si>
  <si>
    <t>Impuesto Ganancias del mes</t>
  </si>
  <si>
    <t>Sueldo Neto</t>
  </si>
  <si>
    <r>
      <t xml:space="preserve">base calculo de la mayor remun </t>
    </r>
    <r>
      <rPr>
        <b/>
        <sz val="16"/>
        <color rgb="FF0000FF"/>
        <rFont val="Arial"/>
        <family val="2"/>
      </rPr>
      <t>mensual</t>
    </r>
    <r>
      <rPr>
        <sz val="16"/>
        <color rgb="FF0000FF"/>
        <rFont val="Arial"/>
        <family val="2"/>
      </rPr>
      <t xml:space="preserve"> devengada del semestre p/ SAC   (sugerido)</t>
    </r>
  </si>
  <si>
    <t>s/ Base Imponible Maxima Jul24.</t>
  </si>
  <si>
    <t>completar Remun Bruta</t>
  </si>
  <si>
    <t>El unico fin es "orientativo".</t>
  </si>
  <si>
    <t xml:space="preserve">obra social y Ley 19.032, varian todos los meses, y hacen que la Ganancia </t>
  </si>
  <si>
    <t>Neta también cambie.</t>
  </si>
  <si>
    <r>
      <t xml:space="preserve">El ejemplo es para sueldos devengados en </t>
    </r>
    <r>
      <rPr>
        <b/>
        <i/>
        <sz val="14"/>
        <color rgb="FFFF0000"/>
        <rFont val="Arial"/>
        <family val="2"/>
      </rPr>
      <t>julio 2024</t>
    </r>
    <r>
      <rPr>
        <i/>
        <sz val="14"/>
        <color rgb="FFFF0000"/>
        <rFont val="Arial"/>
        <family val="2"/>
      </rPr>
      <t>, percibidos dentro del mes.</t>
    </r>
  </si>
  <si>
    <t>acumula desde el percibido enero 2024 a la fecha de cálculo (julio 2024).</t>
  </si>
  <si>
    <t>Las bases imponibles máximas, para el cálculo de los Aportes de jubilación,</t>
  </si>
  <si>
    <r>
      <t xml:space="preserve">Es orientativo, ya que el impuesto a las ganancias es </t>
    </r>
    <r>
      <rPr>
        <b/>
        <i/>
        <sz val="14"/>
        <color rgb="FFFF0000"/>
        <rFont val="Arial"/>
        <family val="2"/>
      </rPr>
      <t>anual</t>
    </r>
    <r>
      <rPr>
        <i/>
        <sz val="14"/>
        <color rgb="FFFF0000"/>
        <rFont val="Arial"/>
        <family val="2"/>
      </rPr>
      <t>, por ende se</t>
    </r>
  </si>
  <si>
    <t>Claramente, las remuneraciones y los descuentos, desde enero 2024 a la</t>
  </si>
  <si>
    <t>fecha, no son los mismos, producto de las subas salariales.</t>
  </si>
  <si>
    <t>desarrollado por CP Leandro Plano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</si>
</sst>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 #,##0.00_ ;_ * \-#,##0.00_ ;_ * \-??_ ;_ @_ "/>
    <numFmt numFmtId="165" formatCode="mmmm"/>
    <numFmt numFmtId="166" formatCode="0.0000"/>
    <numFmt numFmtId="167" formatCode="0.00\ %"/>
    <numFmt numFmtId="168" formatCode="_-[$$-2C0A]\ * #,##0.00_-;\-[$$-2C0A]\ * #,##0.00_-;_-[$$-2C0A]\ * &quot;-&quot;??_-;_-@_-"/>
    <numFmt numFmtId="169" formatCode="0_ ;\-0\ "/>
  </numFmts>
  <fonts count="151" x14ac:knownFonts="1">
    <font>
      <sz val="10"/>
      <color rgb="FF000000"/>
      <name val="Arial"/>
      <charset val="1"/>
    </font>
    <font>
      <b/>
      <sz val="10"/>
      <color rgb="FF000000"/>
      <name val="Arial"/>
      <family val="2"/>
      <charset val="1"/>
    </font>
    <font>
      <sz val="10"/>
      <color rgb="FF000000"/>
      <name val="Arial"/>
      <family val="2"/>
      <charset val="1"/>
    </font>
    <font>
      <sz val="10"/>
      <color rgb="FF0000FF"/>
      <name val="Arial"/>
      <family val="2"/>
      <charset val="1"/>
    </font>
    <font>
      <b/>
      <i/>
      <u/>
      <sz val="14"/>
      <color rgb="FF0000FF"/>
      <name val="Arial"/>
      <family val="2"/>
      <charset val="1"/>
    </font>
    <font>
      <b/>
      <sz val="10"/>
      <color rgb="FF0000FF"/>
      <name val="Arial"/>
      <family val="2"/>
      <charset val="1"/>
    </font>
    <font>
      <b/>
      <sz val="11"/>
      <color rgb="FF000000"/>
      <name val="Arial"/>
      <family val="2"/>
      <charset val="1"/>
    </font>
    <font>
      <b/>
      <sz val="10"/>
      <name val="Arial"/>
      <family val="2"/>
      <charset val="1"/>
    </font>
    <font>
      <sz val="8"/>
      <color rgb="FF403152"/>
      <name val="Arial"/>
      <family val="2"/>
      <charset val="1"/>
    </font>
    <font>
      <b/>
      <sz val="10"/>
      <color rgb="FFA6A6A6"/>
      <name val="Arial"/>
      <family val="2"/>
      <charset val="1"/>
    </font>
    <font>
      <sz val="10"/>
      <color rgb="FFFEBAAC"/>
      <name val="Arial"/>
      <family val="2"/>
      <charset val="1"/>
    </font>
    <font>
      <b/>
      <sz val="10"/>
      <color rgb="FFFF0000"/>
      <name val="Arial"/>
      <family val="2"/>
      <charset val="1"/>
    </font>
    <font>
      <sz val="10"/>
      <name val="Arial"/>
      <family val="2"/>
      <charset val="1"/>
    </font>
    <font>
      <sz val="10"/>
      <color rgb="FF7030A0"/>
      <name val="Arial"/>
      <family val="2"/>
      <charset val="1"/>
    </font>
    <font>
      <b/>
      <sz val="10"/>
      <color rgb="FF7030A0"/>
      <name val="Arial"/>
      <family val="2"/>
      <charset val="1"/>
    </font>
    <font>
      <sz val="10"/>
      <color rgb="FFD9D9D9"/>
      <name val="Arial"/>
      <family val="2"/>
      <charset val="1"/>
    </font>
    <font>
      <sz val="10"/>
      <color rgb="FFFFFFCC"/>
      <name val="Arial"/>
      <family val="2"/>
      <charset val="1"/>
    </font>
    <font>
      <sz val="10"/>
      <color rgb="FFFF8F8F"/>
      <name val="Arial"/>
      <family val="2"/>
      <charset val="1"/>
    </font>
    <font>
      <b/>
      <sz val="10"/>
      <color rgb="FF8500A4"/>
      <name val="Arial"/>
      <family val="2"/>
      <charset val="1"/>
    </font>
    <font>
      <sz val="10"/>
      <color rgb="FF8500A4"/>
      <name val="Arial"/>
      <family val="2"/>
      <charset val="1"/>
    </font>
    <font>
      <sz val="10"/>
      <color rgb="FFE98BFF"/>
      <name val="Arial"/>
      <family val="2"/>
      <charset val="1"/>
    </font>
    <font>
      <sz val="11"/>
      <color rgb="FF000000"/>
      <name val="Arial"/>
      <family val="2"/>
      <charset val="1"/>
    </font>
    <font>
      <sz val="10"/>
      <color rgb="FFEB97FF"/>
      <name val="Arial"/>
      <family val="2"/>
      <charset val="1"/>
    </font>
    <font>
      <sz val="10"/>
      <color rgb="FFFF0000"/>
      <name val="Arial"/>
      <family val="2"/>
      <charset val="1"/>
    </font>
    <font>
      <b/>
      <sz val="9"/>
      <color rgb="FF000000"/>
      <name val="Tahoma"/>
      <family val="2"/>
      <charset val="1"/>
    </font>
    <font>
      <b/>
      <u/>
      <sz val="9"/>
      <color rgb="FF000000"/>
      <name val="Tahoma"/>
      <family val="2"/>
      <charset val="1"/>
    </font>
    <font>
      <b/>
      <sz val="9"/>
      <color rgb="FF000000"/>
      <name val="Tahoma"/>
      <family val="2"/>
    </font>
    <font>
      <sz val="9"/>
      <color rgb="FF000000"/>
      <name val="Tahoma"/>
      <family val="2"/>
    </font>
    <font>
      <b/>
      <sz val="9"/>
      <color rgb="FF000000"/>
      <name val="Arial"/>
      <family val="2"/>
      <charset val="1"/>
    </font>
    <font>
      <b/>
      <i/>
      <sz val="12"/>
      <color rgb="FF000000"/>
      <name val="Arial"/>
      <family val="2"/>
      <charset val="1"/>
    </font>
    <font>
      <sz val="9"/>
      <color rgb="FF0000FF"/>
      <name val="Arial"/>
      <family val="2"/>
      <charset val="1"/>
    </font>
    <font>
      <sz val="9"/>
      <name val="Arial"/>
      <family val="2"/>
      <charset val="1"/>
    </font>
    <font>
      <sz val="9"/>
      <color rgb="FF0000CC"/>
      <name val="Arial"/>
      <family val="2"/>
      <charset val="1"/>
    </font>
    <font>
      <sz val="10"/>
      <color rgb="FF000000"/>
      <name val="Arial"/>
      <family val="2"/>
    </font>
    <font>
      <sz val="10"/>
      <color rgb="FF000000"/>
      <name val="Arial"/>
      <family val="2"/>
    </font>
    <font>
      <b/>
      <sz val="10"/>
      <color rgb="FF000000"/>
      <name val="Arial"/>
      <family val="2"/>
    </font>
    <font>
      <sz val="9"/>
      <color indexed="81"/>
      <name val="Tahoma"/>
      <family val="2"/>
    </font>
    <font>
      <b/>
      <sz val="9"/>
      <color indexed="81"/>
      <name val="Tahoma"/>
      <family val="2"/>
    </font>
    <font>
      <sz val="7"/>
      <color rgb="FF000000"/>
      <name val="Arial"/>
      <family val="2"/>
    </font>
    <font>
      <b/>
      <u/>
      <sz val="9"/>
      <color indexed="81"/>
      <name val="Tahoma"/>
      <family val="2"/>
    </font>
    <font>
      <sz val="9"/>
      <color rgb="FF000000"/>
      <name val="Arial"/>
      <family val="2"/>
    </font>
    <font>
      <sz val="11"/>
      <color rgb="FF000000"/>
      <name val="Arial"/>
      <family val="2"/>
    </font>
    <font>
      <b/>
      <sz val="8"/>
      <color rgb="FF000000"/>
      <name val="Arial"/>
      <family val="2"/>
      <charset val="1"/>
    </font>
    <font>
      <sz val="9"/>
      <color rgb="FF7B7B7B"/>
      <name val="Arial"/>
      <family val="2"/>
    </font>
    <font>
      <sz val="10"/>
      <name val="Arial"/>
      <family val="2"/>
    </font>
    <font>
      <sz val="10"/>
      <color rgb="FFD7D7D7"/>
      <name val="Arial"/>
      <family val="2"/>
      <charset val="1"/>
    </font>
    <font>
      <i/>
      <sz val="8"/>
      <color rgb="FF0000DE"/>
      <name val="Arial"/>
      <family val="2"/>
    </font>
    <font>
      <sz val="10"/>
      <color rgb="FF646464"/>
      <name val="Arial"/>
      <family val="2"/>
    </font>
    <font>
      <sz val="10"/>
      <color rgb="FF0000FF"/>
      <name val="Arial"/>
      <family val="2"/>
    </font>
    <font>
      <b/>
      <sz val="11"/>
      <color rgb="FF000000"/>
      <name val="Arial"/>
      <family val="2"/>
    </font>
    <font>
      <b/>
      <sz val="10"/>
      <name val="Arial"/>
      <family val="2"/>
    </font>
    <font>
      <b/>
      <u/>
      <sz val="11"/>
      <color rgb="FF000000"/>
      <name val="Arial"/>
      <family val="2"/>
    </font>
    <font>
      <sz val="8"/>
      <color rgb="FF000000"/>
      <name val="Arial"/>
      <family val="2"/>
    </font>
    <font>
      <b/>
      <sz val="10"/>
      <color theme="0" tint="-0.14999847407452621"/>
      <name val="Arial"/>
      <family val="2"/>
      <charset val="1"/>
    </font>
    <font>
      <b/>
      <sz val="10"/>
      <color theme="0" tint="-0.249977111117893"/>
      <name val="Arial"/>
      <family val="2"/>
      <charset val="1"/>
    </font>
    <font>
      <sz val="10"/>
      <color rgb="FFFF9B9B"/>
      <name val="Arial"/>
      <family val="2"/>
    </font>
    <font>
      <sz val="10"/>
      <color rgb="FFFF9B9B"/>
      <name val="Arial"/>
      <family val="2"/>
      <charset val="1"/>
    </font>
    <font>
      <b/>
      <sz val="11"/>
      <color rgb="FFE98BFF"/>
      <name val="Arial"/>
      <family val="2"/>
    </font>
    <font>
      <sz val="10"/>
      <color rgb="FFFF0000"/>
      <name val="Arial"/>
      <family val="2"/>
    </font>
    <font>
      <sz val="10"/>
      <color theme="0" tint="-4.9989318521683403E-2"/>
      <name val="Arial"/>
      <family val="2"/>
    </font>
    <font>
      <i/>
      <sz val="10"/>
      <color rgb="FF000000"/>
      <name val="Arial"/>
      <family val="2"/>
    </font>
    <font>
      <b/>
      <sz val="11"/>
      <color rgb="FF0000FF"/>
      <name val="Arial"/>
      <family val="2"/>
    </font>
    <font>
      <b/>
      <sz val="16"/>
      <color rgb="FF000000"/>
      <name val="Arial"/>
      <family val="2"/>
    </font>
    <font>
      <i/>
      <sz val="9"/>
      <color rgb="FF000000"/>
      <name val="Arial"/>
      <family val="2"/>
    </font>
    <font>
      <b/>
      <sz val="8"/>
      <color rgb="FF0000FF"/>
      <name val="Arial"/>
      <family val="2"/>
    </font>
    <font>
      <b/>
      <sz val="10"/>
      <color rgb="FF0000FF"/>
      <name val="Arial"/>
      <family val="2"/>
    </font>
    <font>
      <b/>
      <sz val="11"/>
      <color indexed="81"/>
      <name val="Tahoma"/>
      <family val="2"/>
    </font>
    <font>
      <b/>
      <sz val="9"/>
      <color rgb="FF0000FF"/>
      <name val="Arial"/>
      <family val="2"/>
    </font>
    <font>
      <b/>
      <i/>
      <u/>
      <sz val="14"/>
      <name val="Arial"/>
      <family val="2"/>
      <charset val="1"/>
    </font>
    <font>
      <b/>
      <sz val="10"/>
      <color rgb="FF686868"/>
      <name val="Arial"/>
      <family val="2"/>
      <charset val="1"/>
    </font>
    <font>
      <b/>
      <sz val="11"/>
      <color theme="5" tint="-0.499984740745262"/>
      <name val="Arial"/>
      <family val="2"/>
    </font>
    <font>
      <b/>
      <sz val="11"/>
      <color rgb="FF8500A4"/>
      <name val="Arial"/>
      <family val="2"/>
      <charset val="1"/>
    </font>
    <font>
      <sz val="10"/>
      <color rgb="FF000000"/>
      <name val="Arial"/>
      <family val="2"/>
    </font>
    <font>
      <sz val="9"/>
      <color rgb="FF000000"/>
      <name val="Arial"/>
      <family val="2"/>
      <charset val="1"/>
    </font>
    <font>
      <b/>
      <sz val="10"/>
      <color indexed="81"/>
      <name val="Tahoma"/>
      <family val="2"/>
    </font>
    <font>
      <b/>
      <u/>
      <sz val="10"/>
      <color indexed="81"/>
      <name val="Tahoma"/>
      <family val="2"/>
    </font>
    <font>
      <b/>
      <u/>
      <sz val="14"/>
      <color indexed="81"/>
      <name val="Tw Cen MT Condensed Extra Bold"/>
      <family val="2"/>
    </font>
    <font>
      <u/>
      <sz val="9"/>
      <color indexed="81"/>
      <name val="Tahoma"/>
      <family val="2"/>
    </font>
    <font>
      <b/>
      <u/>
      <sz val="10"/>
      <color rgb="FF000000"/>
      <name val="Arial"/>
      <family val="2"/>
    </font>
    <font>
      <b/>
      <sz val="12"/>
      <color rgb="FF000000"/>
      <name val="Arial"/>
      <family val="2"/>
    </font>
    <font>
      <sz val="11"/>
      <color indexed="81"/>
      <name val="Tahoma"/>
      <family val="2"/>
    </font>
    <font>
      <b/>
      <sz val="10"/>
      <color rgb="FFFF0000"/>
      <name val="Arial"/>
      <family val="2"/>
    </font>
    <font>
      <b/>
      <sz val="10"/>
      <color rgb="FF8500A4"/>
      <name val="Arial"/>
      <family val="2"/>
    </font>
    <font>
      <sz val="10"/>
      <color rgb="FFFF7575"/>
      <name val="Arial"/>
      <family val="2"/>
    </font>
    <font>
      <sz val="10"/>
      <color theme="0"/>
      <name val="Arial"/>
      <family val="2"/>
    </font>
    <font>
      <sz val="8"/>
      <color theme="0"/>
      <name val="Arial"/>
      <family val="2"/>
    </font>
    <font>
      <sz val="10"/>
      <color theme="2" tint="-0.249977111117893"/>
      <name val="Arial"/>
      <family val="2"/>
    </font>
    <font>
      <b/>
      <u/>
      <sz val="8"/>
      <color theme="2" tint="-0.249977111117893"/>
      <name val="Arial"/>
      <family val="2"/>
    </font>
    <font>
      <b/>
      <sz val="16"/>
      <color rgb="FFFF0000"/>
      <name val="Arial"/>
      <family val="2"/>
    </font>
    <font>
      <b/>
      <i/>
      <sz val="10"/>
      <color rgb="FFFF0000"/>
      <name val="Arial"/>
      <family val="2"/>
    </font>
    <font>
      <sz val="10"/>
      <color theme="0" tint="-0.249977111117893"/>
      <name val="Arial"/>
      <family val="2"/>
    </font>
    <font>
      <b/>
      <i/>
      <u/>
      <sz val="11"/>
      <color indexed="81"/>
      <name val="Tahoma"/>
      <family val="2"/>
    </font>
    <font>
      <b/>
      <u/>
      <sz val="11"/>
      <name val="Arial"/>
      <family val="2"/>
    </font>
    <font>
      <b/>
      <sz val="11"/>
      <name val="Arial"/>
      <family val="2"/>
    </font>
    <font>
      <b/>
      <u/>
      <sz val="11"/>
      <color rgb="FFFF0000"/>
      <name val="Arial"/>
      <family val="2"/>
    </font>
    <font>
      <sz val="11"/>
      <name val="Arial"/>
      <family val="2"/>
    </font>
    <font>
      <b/>
      <sz val="9"/>
      <color rgb="FF000000"/>
      <name val="Arial"/>
      <family val="2"/>
    </font>
    <font>
      <i/>
      <sz val="10"/>
      <name val="Arial"/>
      <family val="2"/>
    </font>
    <font>
      <b/>
      <i/>
      <sz val="9"/>
      <color rgb="FF000000"/>
      <name val="Arial"/>
      <family val="2"/>
      <charset val="1"/>
    </font>
    <font>
      <sz val="10"/>
      <color rgb="FFFFA3A3"/>
      <name val="Arial"/>
      <family val="2"/>
      <charset val="1"/>
    </font>
    <font>
      <i/>
      <sz val="9"/>
      <color rgb="FF0000FF"/>
      <name val="Arial"/>
      <family val="2"/>
    </font>
    <font>
      <i/>
      <sz val="9"/>
      <name val="Arial"/>
      <family val="2"/>
    </font>
    <font>
      <i/>
      <sz val="7"/>
      <color rgb="FF000000"/>
      <name val="Arial"/>
      <family val="2"/>
    </font>
    <font>
      <b/>
      <sz val="14"/>
      <color indexed="81"/>
      <name val="Tahoma"/>
      <family val="2"/>
    </font>
    <font>
      <b/>
      <sz val="10"/>
      <color rgb="FF7030A0"/>
      <name val="Arial"/>
      <family val="2"/>
    </font>
    <font>
      <sz val="8"/>
      <name val="Arial"/>
      <family val="2"/>
    </font>
    <font>
      <sz val="8"/>
      <color rgb="FFFF0000"/>
      <name val="Arial"/>
      <family val="2"/>
    </font>
    <font>
      <b/>
      <sz val="8"/>
      <color rgb="FF000000"/>
      <name val="Arial"/>
      <family val="2"/>
    </font>
    <font>
      <i/>
      <sz val="8"/>
      <color rgb="FF000000"/>
      <name val="Arial"/>
      <family val="2"/>
    </font>
    <font>
      <sz val="8"/>
      <color rgb="FF0000FF"/>
      <name val="Arial"/>
      <family val="2"/>
    </font>
    <font>
      <b/>
      <sz val="8"/>
      <name val="Arial"/>
      <family val="2"/>
    </font>
    <font>
      <b/>
      <sz val="10"/>
      <color theme="2" tint="-0.89999084444715716"/>
      <name val="Arial"/>
      <family val="2"/>
    </font>
    <font>
      <u/>
      <sz val="11"/>
      <name val="Arial"/>
      <family val="2"/>
    </font>
    <font>
      <sz val="10"/>
      <color rgb="FF000000"/>
      <name val="Arial"/>
      <family val="2"/>
    </font>
    <font>
      <b/>
      <sz val="10"/>
      <color theme="8" tint="0.59999389629810485"/>
      <name val="Arial"/>
      <family val="2"/>
      <charset val="1"/>
    </font>
    <font>
      <u/>
      <sz val="10"/>
      <name val="Arial"/>
      <family val="2"/>
    </font>
    <font>
      <u/>
      <sz val="10"/>
      <color rgb="FF000000"/>
      <name val="Arial"/>
      <family val="2"/>
    </font>
    <font>
      <b/>
      <sz val="10"/>
      <color rgb="FF002060"/>
      <name val="Arial"/>
      <family val="2"/>
    </font>
    <font>
      <sz val="9"/>
      <color rgb="FFFF0000"/>
      <name val="Arial"/>
      <family val="2"/>
    </font>
    <font>
      <b/>
      <sz val="9"/>
      <color rgb="FFFF0000"/>
      <name val="Arial"/>
      <family val="2"/>
    </font>
    <font>
      <b/>
      <sz val="8"/>
      <color rgb="FFFF0000"/>
      <name val="Arial"/>
      <family val="2"/>
    </font>
    <font>
      <b/>
      <u/>
      <sz val="9"/>
      <color rgb="FFFF0000"/>
      <name val="Arial"/>
      <family val="2"/>
    </font>
    <font>
      <sz val="8"/>
      <color theme="0" tint="-4.9989318521683403E-2"/>
      <name val="Arial"/>
      <family val="2"/>
    </font>
    <font>
      <sz val="9"/>
      <color theme="0"/>
      <name val="Arial"/>
      <family val="2"/>
    </font>
    <font>
      <i/>
      <sz val="8"/>
      <color theme="2"/>
      <name val="Arial"/>
      <family val="2"/>
    </font>
    <font>
      <b/>
      <sz val="10"/>
      <color theme="0"/>
      <name val="Arial"/>
      <family val="2"/>
      <charset val="1"/>
    </font>
    <font>
      <b/>
      <i/>
      <sz val="10"/>
      <color theme="8" tint="-0.499984740745262"/>
      <name val="Arial"/>
      <family val="2"/>
    </font>
    <font>
      <b/>
      <i/>
      <sz val="14"/>
      <color rgb="FF0000FF"/>
      <name val="Arial"/>
      <family val="2"/>
    </font>
    <font>
      <u/>
      <sz val="10"/>
      <color rgb="FFFF0000"/>
      <name val="Arial"/>
      <family val="2"/>
    </font>
    <font>
      <i/>
      <sz val="8"/>
      <name val="Arial"/>
      <family val="2"/>
    </font>
    <font>
      <i/>
      <u/>
      <sz val="10"/>
      <color rgb="FF000000"/>
      <name val="Arial"/>
      <family val="2"/>
    </font>
    <font>
      <sz val="9"/>
      <color theme="0" tint="-0.499984740745262"/>
      <name val="Arial"/>
      <family val="2"/>
    </font>
    <font>
      <sz val="10"/>
      <color theme="0"/>
      <name val="Arial"/>
      <family val="2"/>
      <charset val="1"/>
    </font>
    <font>
      <b/>
      <sz val="9"/>
      <color rgb="FF2E2E2E"/>
      <name val="Arial"/>
      <family val="2"/>
    </font>
    <font>
      <sz val="9"/>
      <color theme="8" tint="-0.499984740745262"/>
      <name val="Arial"/>
      <family val="2"/>
      <charset val="1"/>
    </font>
    <font>
      <sz val="8"/>
      <color theme="8" tint="-0.499984740745262"/>
      <name val="Arial"/>
      <family val="2"/>
      <charset val="1"/>
    </font>
    <font>
      <b/>
      <sz val="9"/>
      <name val="Arial"/>
      <family val="2"/>
    </font>
    <font>
      <sz val="16"/>
      <color rgb="FF000000"/>
      <name val="Arial"/>
      <family val="2"/>
    </font>
    <font>
      <sz val="16"/>
      <name val="Arial"/>
      <family val="2"/>
    </font>
    <font>
      <sz val="16"/>
      <color rgb="FF0000FF"/>
      <name val="Arial"/>
      <family val="2"/>
    </font>
    <font>
      <sz val="16"/>
      <color rgb="FFFF0000"/>
      <name val="Arial"/>
      <family val="2"/>
    </font>
    <font>
      <b/>
      <sz val="16"/>
      <color rgb="FF0000FF"/>
      <name val="Arial"/>
      <family val="2"/>
    </font>
    <font>
      <b/>
      <sz val="16"/>
      <name val="Arial"/>
      <family val="2"/>
    </font>
    <font>
      <i/>
      <sz val="16"/>
      <color rgb="FF0000FF"/>
      <name val="Arial"/>
      <family val="2"/>
    </font>
    <font>
      <i/>
      <sz val="16"/>
      <name val="Arial"/>
      <family val="2"/>
    </font>
    <font>
      <b/>
      <sz val="16"/>
      <color theme="0"/>
      <name val="Arial"/>
      <family val="2"/>
    </font>
    <font>
      <b/>
      <sz val="16"/>
      <color rgb="FF9F9FFF"/>
      <name val="Arial"/>
      <family val="2"/>
    </font>
    <font>
      <b/>
      <sz val="16"/>
      <color rgb="FF686868"/>
      <name val="Arial"/>
      <family val="2"/>
    </font>
    <font>
      <i/>
      <sz val="10"/>
      <color rgb="FFFF0000"/>
      <name val="Arial"/>
      <family val="2"/>
    </font>
    <font>
      <i/>
      <sz val="14"/>
      <color rgb="FFFF0000"/>
      <name val="Arial"/>
      <family val="2"/>
    </font>
    <font>
      <b/>
      <i/>
      <sz val="14"/>
      <color rgb="FFFF0000"/>
      <name val="Arial"/>
      <family val="2"/>
    </font>
  </fonts>
  <fills count="56">
    <fill>
      <patternFill patternType="none"/>
    </fill>
    <fill>
      <patternFill patternType="gray125"/>
    </fill>
    <fill>
      <patternFill patternType="solid">
        <fgColor rgb="FFDBEEF4"/>
        <bgColor rgb="FFDCE6F2"/>
      </patternFill>
    </fill>
    <fill>
      <patternFill patternType="solid">
        <fgColor rgb="FFC0C0C0"/>
        <bgColor rgb="FFC3D69B"/>
      </patternFill>
    </fill>
    <fill>
      <patternFill patternType="solid">
        <fgColor rgb="FFFAC090"/>
        <bgColor rgb="FFFEBAAC"/>
      </patternFill>
    </fill>
    <fill>
      <patternFill patternType="solid">
        <fgColor rgb="FFD9D9D9"/>
        <bgColor rgb="FFD7E4BD"/>
      </patternFill>
    </fill>
    <fill>
      <patternFill patternType="solid">
        <fgColor rgb="FFDCE6F2"/>
        <bgColor rgb="FFDBEEF4"/>
      </patternFill>
    </fill>
    <fill>
      <patternFill patternType="solid">
        <fgColor theme="4" tint="0.79998168889431442"/>
        <bgColor indexed="64"/>
      </patternFill>
    </fill>
    <fill>
      <patternFill patternType="solid">
        <fgColor rgb="FFF8FAB4"/>
        <bgColor indexed="64"/>
      </patternFill>
    </fill>
    <fill>
      <patternFill patternType="solid">
        <fgColor theme="8" tint="0.79998168889431442"/>
        <bgColor rgb="FFDCE6F2"/>
      </patternFill>
    </fill>
    <fill>
      <patternFill patternType="solid">
        <fgColor theme="8"/>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00"/>
        <bgColor rgb="FFFFFFCC"/>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E5E5FF"/>
        <bgColor indexed="64"/>
      </patternFill>
    </fill>
    <fill>
      <patternFill patternType="solid">
        <fgColor theme="7" tint="0.59999389629810485"/>
        <bgColor rgb="FFD9D9D9"/>
      </patternFill>
    </fill>
    <fill>
      <patternFill patternType="solid">
        <fgColor rgb="FFFFFF00"/>
        <bgColor rgb="FFD7E4BD"/>
      </patternFill>
    </fill>
    <fill>
      <patternFill patternType="solid">
        <fgColor rgb="FFEBEBFF"/>
        <bgColor indexed="64"/>
      </patternFill>
    </fill>
    <fill>
      <patternFill patternType="solid">
        <fgColor rgb="FFF9FAC6"/>
        <bgColor indexed="64"/>
      </patternFill>
    </fill>
    <fill>
      <patternFill patternType="solid">
        <fgColor rgb="FFF9FAC6"/>
        <bgColor rgb="FFFFFFCC"/>
      </patternFill>
    </fill>
    <fill>
      <patternFill patternType="solid">
        <fgColor theme="0" tint="-0.249977111117893"/>
        <bgColor rgb="FFFFFFCC"/>
      </patternFill>
    </fill>
    <fill>
      <patternFill patternType="solid">
        <fgColor rgb="FFF5F7A9"/>
        <bgColor rgb="FFD9D9D9"/>
      </patternFill>
    </fill>
    <fill>
      <patternFill patternType="solid">
        <fgColor rgb="FFF5F7A9"/>
        <bgColor indexed="64"/>
      </patternFill>
    </fill>
    <fill>
      <patternFill patternType="solid">
        <fgColor rgb="FFF5F7A9"/>
        <bgColor rgb="FFFFFFE5"/>
      </patternFill>
    </fill>
    <fill>
      <patternFill patternType="solid">
        <fgColor theme="7" tint="0.79998168889431442"/>
        <bgColor indexed="64"/>
      </patternFill>
    </fill>
    <fill>
      <patternFill patternType="solid">
        <fgColor theme="2" tint="-0.89999084444715716"/>
        <bgColor rgb="FFC3D69B"/>
      </patternFill>
    </fill>
    <fill>
      <patternFill patternType="solid">
        <fgColor theme="2" tint="-0.89999084444715716"/>
        <bgColor indexed="64"/>
      </patternFill>
    </fill>
    <fill>
      <patternFill patternType="solid">
        <fgColor theme="1"/>
        <bgColor indexed="64"/>
      </patternFill>
    </fill>
    <fill>
      <patternFill patternType="solid">
        <fgColor rgb="FFFFC9FF"/>
        <bgColor rgb="FFFFFF00"/>
      </patternFill>
    </fill>
    <fill>
      <patternFill patternType="solid">
        <fgColor theme="0" tint="-0.14999847407452621"/>
        <bgColor rgb="FFFFFFE5"/>
      </patternFill>
    </fill>
    <fill>
      <patternFill patternType="solid">
        <fgColor rgb="FFFCE3FD"/>
        <bgColor indexed="64"/>
      </patternFill>
    </fill>
    <fill>
      <patternFill patternType="solid">
        <fgColor theme="6" tint="0.79998168889431442"/>
        <bgColor indexed="64"/>
      </patternFill>
    </fill>
    <fill>
      <patternFill patternType="solid">
        <fgColor theme="6" tint="0.79998168889431442"/>
        <bgColor rgb="FFD9D9D9"/>
      </patternFill>
    </fill>
    <fill>
      <patternFill patternType="solid">
        <fgColor theme="9"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rgb="FFC3D69B"/>
      </patternFill>
    </fill>
    <fill>
      <patternFill patternType="solid">
        <fgColor rgb="FFF9FAC6"/>
        <bgColor rgb="FFFFFFE5"/>
      </patternFill>
    </fill>
    <fill>
      <patternFill patternType="solid">
        <fgColor theme="7" tint="0.59999389629810485"/>
        <bgColor indexed="64"/>
      </patternFill>
    </fill>
    <fill>
      <patternFill patternType="solid">
        <fgColor rgb="FFFFFFFF"/>
      </patternFill>
    </fill>
    <fill>
      <patternFill patternType="solid">
        <fgColor rgb="FFFFFED1"/>
        <bgColor indexed="64"/>
      </patternFill>
    </fill>
    <fill>
      <patternFill patternType="solid">
        <fgColor theme="9" tint="-0.249977111117893"/>
        <bgColor indexed="64"/>
      </patternFill>
    </fill>
    <fill>
      <patternFill patternType="solid">
        <fgColor theme="9" tint="0.39997558519241921"/>
        <bgColor rgb="FFDBEEF4"/>
      </patternFill>
    </fill>
    <fill>
      <patternFill patternType="solid">
        <fgColor theme="9" tint="0.39997558519241921"/>
        <bgColor indexed="64"/>
      </patternFill>
    </fill>
    <fill>
      <patternFill patternType="solid">
        <fgColor rgb="FFFFC000"/>
        <bgColor indexed="64"/>
      </patternFill>
    </fill>
    <fill>
      <patternFill patternType="solid">
        <fgColor rgb="FFFFC000"/>
        <bgColor rgb="FFC3D69B"/>
      </patternFill>
    </fill>
    <fill>
      <patternFill patternType="solid">
        <fgColor rgb="FFFFC000"/>
        <bgColor rgb="FFFFFFE5"/>
      </patternFill>
    </fill>
    <fill>
      <patternFill patternType="solid">
        <fgColor theme="9"/>
        <bgColor indexed="64"/>
      </patternFill>
    </fill>
    <fill>
      <patternFill patternType="solid">
        <fgColor rgb="FF92D050"/>
        <bgColor indexed="64"/>
      </patternFill>
    </fill>
    <fill>
      <patternFill patternType="solid">
        <fgColor theme="5" tint="0.59999389629810485"/>
        <bgColor indexed="64"/>
      </patternFill>
    </fill>
  </fills>
  <borders count="8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rgb="FF141312"/>
      </bottom>
      <diagonal/>
    </border>
    <border>
      <left/>
      <right/>
      <top/>
      <bottom style="medium">
        <color rgb="FF141312"/>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141312"/>
      </left>
      <right/>
      <top style="medium">
        <color rgb="FF141312"/>
      </top>
      <bottom style="medium">
        <color rgb="FF141312"/>
      </bottom>
      <diagonal/>
    </border>
    <border>
      <left style="medium">
        <color rgb="FF141312"/>
      </left>
      <right style="medium">
        <color rgb="FF141312"/>
      </right>
      <top/>
      <bottom style="medium">
        <color rgb="FF141312"/>
      </bottom>
      <diagonal/>
    </border>
    <border>
      <left style="medium">
        <color auto="1"/>
      </left>
      <right style="medium">
        <color auto="1"/>
      </right>
      <top/>
      <bottom style="medium">
        <color rgb="FF141312"/>
      </bottom>
      <diagonal/>
    </border>
    <border>
      <left style="medium">
        <color auto="1"/>
      </left>
      <right style="medium">
        <color auto="1"/>
      </right>
      <top style="medium">
        <color rgb="FF141312"/>
      </top>
      <bottom style="medium">
        <color rgb="FF141312"/>
      </bottom>
      <diagonal/>
    </border>
    <border>
      <left style="medium">
        <color rgb="FF141312"/>
      </left>
      <right style="medium">
        <color rgb="FF141312"/>
      </right>
      <top style="medium">
        <color rgb="FF141312"/>
      </top>
      <bottom style="medium">
        <color rgb="FF141312"/>
      </bottom>
      <diagonal/>
    </border>
    <border>
      <left style="medium">
        <color auto="1"/>
      </left>
      <right style="medium">
        <color auto="1"/>
      </right>
      <top style="medium">
        <color rgb="FF141312"/>
      </top>
      <bottom style="medium">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double">
        <color indexed="64"/>
      </bottom>
      <diagonal/>
    </border>
    <border>
      <left/>
      <right/>
      <top style="double">
        <color indexed="64"/>
      </top>
      <bottom style="double">
        <color indexed="64"/>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double">
        <color indexed="64"/>
      </top>
      <bottom style="double">
        <color indexed="64"/>
      </bottom>
      <diagonal/>
    </border>
    <border>
      <left/>
      <right style="medium">
        <color auto="1"/>
      </right>
      <top style="double">
        <color indexed="64"/>
      </top>
      <bottom style="double">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medium">
        <color rgb="FF141312"/>
      </top>
      <bottom/>
      <diagonal/>
    </border>
    <border>
      <left/>
      <right style="thin">
        <color auto="1"/>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auto="1"/>
      </top>
      <bottom style="double">
        <color indexed="64"/>
      </bottom>
      <diagonal/>
    </border>
  </borders>
  <cellStyleXfs count="4">
    <xf numFmtId="0" fontId="0" fillId="0" borderId="0"/>
    <xf numFmtId="164" fontId="33" fillId="0" borderId="0" applyBorder="0" applyProtection="0"/>
    <xf numFmtId="9" fontId="72" fillId="0" borderId="0" applyFont="0" applyFill="0" applyBorder="0" applyAlignment="0" applyProtection="0"/>
    <xf numFmtId="44" fontId="113" fillId="0" borderId="0" applyFont="0" applyFill="0" applyBorder="0" applyAlignment="0" applyProtection="0"/>
  </cellStyleXfs>
  <cellXfs count="822">
    <xf numFmtId="0" fontId="0" fillId="0" borderId="0" xfId="0"/>
    <xf numFmtId="164" fontId="3" fillId="0" borderId="0" xfId="1" applyFont="1" applyBorder="1" applyProtection="1">
      <protection locked="0"/>
    </xf>
    <xf numFmtId="0" fontId="35" fillId="19" borderId="14" xfId="0" applyFont="1" applyFill="1" applyBorder="1" applyAlignment="1" applyProtection="1">
      <alignment vertical="center"/>
      <protection hidden="1"/>
    </xf>
    <xf numFmtId="164" fontId="33" fillId="19" borderId="0" xfId="1" applyFill="1" applyBorder="1" applyProtection="1">
      <protection hidden="1"/>
    </xf>
    <xf numFmtId="0" fontId="0" fillId="19" borderId="11" xfId="0" applyFill="1" applyBorder="1" applyAlignment="1" applyProtection="1">
      <alignment vertical="center"/>
      <protection hidden="1"/>
    </xf>
    <xf numFmtId="164" fontId="58" fillId="19" borderId="0" xfId="1" applyFont="1" applyFill="1" applyBorder="1" applyProtection="1">
      <protection hidden="1"/>
    </xf>
    <xf numFmtId="164" fontId="35" fillId="19" borderId="14" xfId="1" applyFont="1" applyFill="1" applyBorder="1" applyProtection="1">
      <protection hidden="1"/>
    </xf>
    <xf numFmtId="164" fontId="33" fillId="19" borderId="15" xfId="1" applyFill="1" applyBorder="1" applyProtection="1">
      <protection hidden="1"/>
    </xf>
    <xf numFmtId="164" fontId="33" fillId="19" borderId="40" xfId="1" applyFill="1" applyBorder="1" applyProtection="1">
      <protection hidden="1"/>
    </xf>
    <xf numFmtId="164" fontId="33" fillId="19" borderId="43" xfId="1" applyFill="1" applyBorder="1" applyProtection="1">
      <protection hidden="1"/>
    </xf>
    <xf numFmtId="0" fontId="0" fillId="19" borderId="45" xfId="0" applyFill="1" applyBorder="1" applyAlignment="1" applyProtection="1">
      <alignment vertical="center"/>
      <protection hidden="1"/>
    </xf>
    <xf numFmtId="164" fontId="84" fillId="0" borderId="0" xfId="1" applyFont="1" applyBorder="1" applyAlignment="1" applyProtection="1">
      <alignment vertical="center"/>
      <protection hidden="1"/>
    </xf>
    <xf numFmtId="0" fontId="38" fillId="0" borderId="0" xfId="0" applyFont="1" applyAlignment="1" applyProtection="1">
      <alignment horizontal="center" vertical="center"/>
      <protection hidden="1"/>
    </xf>
    <xf numFmtId="2" fontId="38" fillId="0" borderId="0" xfId="0" applyNumberFormat="1" applyFont="1" applyAlignment="1" applyProtection="1">
      <alignment horizontal="center" vertical="center"/>
      <protection hidden="1"/>
    </xf>
    <xf numFmtId="164" fontId="38" fillId="0" borderId="0" xfId="0" applyNumberFormat="1" applyFont="1" applyAlignment="1" applyProtection="1">
      <alignment horizontal="center" vertical="center"/>
      <protection hidden="1"/>
    </xf>
    <xf numFmtId="164" fontId="44" fillId="0" borderId="9" xfId="1" applyFont="1" applyBorder="1" applyAlignment="1" applyProtection="1">
      <alignment vertical="center"/>
      <protection hidden="1"/>
    </xf>
    <xf numFmtId="164" fontId="40" fillId="0" borderId="25" xfId="1" applyFont="1" applyBorder="1" applyProtection="1">
      <protection hidden="1"/>
    </xf>
    <xf numFmtId="167" fontId="50" fillId="0" borderId="25" xfId="0" applyNumberFormat="1" applyFont="1" applyBorder="1" applyProtection="1">
      <protection hidden="1"/>
    </xf>
    <xf numFmtId="0" fontId="38" fillId="0" borderId="37" xfId="0" applyFont="1" applyBorder="1" applyAlignment="1" applyProtection="1">
      <alignment horizontal="center" vertical="center"/>
      <protection hidden="1"/>
    </xf>
    <xf numFmtId="0" fontId="89" fillId="19" borderId="41" xfId="0" applyFont="1" applyFill="1" applyBorder="1" applyAlignment="1" applyProtection="1">
      <alignment vertical="center"/>
      <protection hidden="1"/>
    </xf>
    <xf numFmtId="164" fontId="81" fillId="19" borderId="41" xfId="1" applyFont="1" applyFill="1" applyBorder="1" applyProtection="1">
      <protection hidden="1"/>
    </xf>
    <xf numFmtId="0" fontId="3" fillId="13" borderId="2" xfId="0" applyFont="1" applyFill="1" applyBorder="1" applyAlignment="1" applyProtection="1">
      <alignment horizontal="center"/>
      <protection locked="0"/>
    </xf>
    <xf numFmtId="0" fontId="3" fillId="13" borderId="4" xfId="0" applyFont="1" applyFill="1" applyBorder="1" applyAlignment="1" applyProtection="1">
      <alignment horizontal="center"/>
      <protection locked="0"/>
    </xf>
    <xf numFmtId="164" fontId="30" fillId="13" borderId="4" xfId="1" applyFont="1" applyFill="1" applyBorder="1" applyProtection="1">
      <protection locked="0"/>
    </xf>
    <xf numFmtId="0" fontId="0" fillId="0" borderId="0" xfId="0" applyProtection="1">
      <protection locked="0"/>
    </xf>
    <xf numFmtId="165" fontId="1" fillId="2" borderId="8" xfId="0" applyNumberFormat="1" applyFont="1" applyFill="1" applyBorder="1" applyAlignment="1">
      <alignment horizontal="center"/>
    </xf>
    <xf numFmtId="0" fontId="49" fillId="45" borderId="0" xfId="0" applyFont="1" applyFill="1" applyAlignment="1" applyProtection="1">
      <alignment horizontal="left" vertical="center"/>
      <protection hidden="1"/>
    </xf>
    <xf numFmtId="168" fontId="33" fillId="45" borderId="0" xfId="3" applyNumberFormat="1" applyFont="1" applyFill="1" applyBorder="1" applyAlignment="1" applyProtection="1">
      <alignment horizontal="center" vertical="center"/>
      <protection hidden="1"/>
    </xf>
    <xf numFmtId="0" fontId="52" fillId="0" borderId="0" xfId="0" applyFont="1" applyAlignment="1" applyProtection="1">
      <alignment horizontal="center"/>
      <protection hidden="1"/>
    </xf>
    <xf numFmtId="0" fontId="0" fillId="0" borderId="0" xfId="0" applyProtection="1">
      <protection hidden="1"/>
    </xf>
    <xf numFmtId="0" fontId="33" fillId="17" borderId="13" xfId="0" applyFont="1" applyFill="1" applyBorder="1" applyAlignment="1" applyProtection="1">
      <alignment vertical="center" wrapText="1"/>
      <protection hidden="1"/>
    </xf>
    <xf numFmtId="0" fontId="33" fillId="17" borderId="15" xfId="0" applyFont="1" applyFill="1" applyBorder="1" applyAlignment="1" applyProtection="1">
      <alignment vertical="center" wrapText="1"/>
      <protection hidden="1"/>
    </xf>
    <xf numFmtId="0" fontId="33" fillId="0" borderId="73" xfId="0" applyFont="1" applyBorder="1" applyAlignment="1" applyProtection="1">
      <alignment horizontal="left" vertical="center" wrapText="1"/>
      <protection hidden="1"/>
    </xf>
    <xf numFmtId="44" fontId="44" fillId="45" borderId="75" xfId="3" applyFont="1" applyFill="1" applyBorder="1" applyAlignment="1" applyProtection="1">
      <alignment horizontal="center" vertical="center" wrapText="1"/>
      <protection hidden="1"/>
    </xf>
    <xf numFmtId="0" fontId="33" fillId="0" borderId="66" xfId="0" applyFont="1" applyBorder="1" applyAlignment="1" applyProtection="1">
      <alignment horizontal="left" vertical="center" wrapText="1"/>
      <protection hidden="1"/>
    </xf>
    <xf numFmtId="44" fontId="44" fillId="45" borderId="68" xfId="3" applyFont="1" applyFill="1" applyBorder="1" applyAlignment="1" applyProtection="1">
      <alignment horizontal="center" vertical="center" wrapText="1"/>
      <protection hidden="1"/>
    </xf>
    <xf numFmtId="0" fontId="58" fillId="0" borderId="66" xfId="0" applyFont="1" applyBorder="1" applyAlignment="1" applyProtection="1">
      <alignment horizontal="left" vertical="center" wrapText="1"/>
      <protection hidden="1"/>
    </xf>
    <xf numFmtId="44" fontId="58" fillId="45" borderId="68" xfId="3" applyFont="1" applyFill="1" applyBorder="1" applyAlignment="1" applyProtection="1">
      <alignment horizontal="center" vertical="center" wrapText="1"/>
      <protection hidden="1"/>
    </xf>
    <xf numFmtId="0" fontId="106" fillId="0" borderId="0" xfId="0" applyFont="1" applyAlignment="1" applyProtection="1">
      <alignment horizontal="center"/>
      <protection hidden="1"/>
    </xf>
    <xf numFmtId="0" fontId="58" fillId="0" borderId="71" xfId="0" applyFont="1" applyBorder="1" applyAlignment="1" applyProtection="1">
      <alignment horizontal="left" vertical="center" wrapText="1"/>
      <protection hidden="1"/>
    </xf>
    <xf numFmtId="44" fontId="58" fillId="45" borderId="72" xfId="3" applyFont="1" applyFill="1" applyBorder="1" applyAlignment="1" applyProtection="1">
      <alignment horizontal="center" vertical="center" wrapText="1"/>
      <protection hidden="1"/>
    </xf>
    <xf numFmtId="0" fontId="50" fillId="17" borderId="13" xfId="0" applyFont="1" applyFill="1" applyBorder="1" applyAlignment="1" applyProtection="1">
      <alignment vertical="center" wrapText="1"/>
      <protection hidden="1"/>
    </xf>
    <xf numFmtId="0" fontId="50" fillId="17" borderId="15" xfId="0" applyFont="1" applyFill="1" applyBorder="1" applyAlignment="1" applyProtection="1">
      <alignment vertical="center" wrapText="1"/>
      <protection hidden="1"/>
    </xf>
    <xf numFmtId="168" fontId="44" fillId="0" borderId="74" xfId="3" applyNumberFormat="1" applyFont="1" applyFill="1" applyBorder="1" applyAlignment="1" applyProtection="1">
      <alignment horizontal="center" vertical="center" wrapText="1"/>
      <protection hidden="1"/>
    </xf>
    <xf numFmtId="168" fontId="44" fillId="0" borderId="69" xfId="3" applyNumberFormat="1" applyFont="1" applyFill="1" applyBorder="1" applyAlignment="1" applyProtection="1">
      <alignment horizontal="center" vertical="center" wrapText="1"/>
      <protection hidden="1"/>
    </xf>
    <xf numFmtId="168" fontId="58" fillId="0" borderId="69" xfId="3" applyNumberFormat="1" applyFont="1" applyFill="1" applyBorder="1" applyAlignment="1" applyProtection="1">
      <alignment horizontal="center" vertical="center" wrapText="1"/>
      <protection hidden="1"/>
    </xf>
    <xf numFmtId="0" fontId="35" fillId="0" borderId="66" xfId="0" applyFont="1" applyBorder="1" applyAlignment="1" applyProtection="1">
      <alignment horizontal="left" vertical="center" wrapText="1"/>
      <protection hidden="1"/>
    </xf>
    <xf numFmtId="168" fontId="50" fillId="0" borderId="69" xfId="3" applyNumberFormat="1" applyFont="1" applyFill="1" applyBorder="1" applyAlignment="1" applyProtection="1">
      <alignment horizontal="center" vertical="center" wrapText="1"/>
      <protection hidden="1"/>
    </xf>
    <xf numFmtId="0" fontId="81" fillId="0" borderId="66" xfId="0" applyFont="1" applyBorder="1" applyAlignment="1" applyProtection="1">
      <alignment horizontal="left" vertical="center" wrapText="1"/>
      <protection hidden="1"/>
    </xf>
    <xf numFmtId="168" fontId="81" fillId="0" borderId="69" xfId="3" applyNumberFormat="1" applyFont="1" applyFill="1" applyBorder="1" applyAlignment="1" applyProtection="1">
      <alignment horizontal="center" vertical="center" wrapText="1"/>
      <protection hidden="1"/>
    </xf>
    <xf numFmtId="0" fontId="35" fillId="17" borderId="0" xfId="0" applyFont="1" applyFill="1" applyAlignment="1" applyProtection="1">
      <alignment horizontal="left" vertical="center"/>
      <protection hidden="1"/>
    </xf>
    <xf numFmtId="168" fontId="33" fillId="17" borderId="70" xfId="3" applyNumberFormat="1" applyFont="1" applyFill="1" applyBorder="1" applyAlignment="1" applyProtection="1">
      <alignment horizontal="center" vertical="center"/>
      <protection hidden="1"/>
    </xf>
    <xf numFmtId="0" fontId="44" fillId="0" borderId="66" xfId="0" applyFont="1" applyBorder="1" applyAlignment="1" applyProtection="1">
      <alignment horizontal="left" vertical="center" wrapText="1"/>
      <protection hidden="1"/>
    </xf>
    <xf numFmtId="0" fontId="50" fillId="0" borderId="66" xfId="0" applyFont="1" applyBorder="1" applyAlignment="1" applyProtection="1">
      <alignment horizontal="left" vertical="center" wrapText="1"/>
      <protection hidden="1"/>
    </xf>
    <xf numFmtId="168" fontId="44" fillId="45" borderId="68" xfId="3" applyNumberFormat="1" applyFont="1" applyFill="1" applyBorder="1" applyAlignment="1" applyProtection="1">
      <alignment horizontal="center" vertical="center" wrapText="1"/>
      <protection hidden="1"/>
    </xf>
    <xf numFmtId="0" fontId="115" fillId="0" borderId="66" xfId="0" applyFont="1" applyBorder="1" applyAlignment="1" applyProtection="1">
      <alignment vertical="center" wrapText="1"/>
      <protection hidden="1"/>
    </xf>
    <xf numFmtId="0" fontId="116" fillId="0" borderId="67" xfId="0" applyFont="1" applyBorder="1" applyAlignment="1" applyProtection="1">
      <alignment vertical="center" wrapText="1"/>
      <protection hidden="1"/>
    </xf>
    <xf numFmtId="169" fontId="44" fillId="45" borderId="68" xfId="3" applyNumberFormat="1" applyFont="1" applyFill="1" applyBorder="1" applyAlignment="1" applyProtection="1">
      <alignment horizontal="center" vertical="center" wrapText="1"/>
      <protection hidden="1"/>
    </xf>
    <xf numFmtId="168" fontId="50" fillId="45" borderId="68" xfId="3" applyNumberFormat="1" applyFont="1" applyFill="1" applyBorder="1" applyAlignment="1" applyProtection="1">
      <alignment horizontal="center" vertical="center" wrapText="1"/>
      <protection hidden="1"/>
    </xf>
    <xf numFmtId="0" fontId="117" fillId="17" borderId="0" xfId="0" applyFont="1" applyFill="1" applyAlignment="1" applyProtection="1">
      <alignment horizontal="left" vertical="center"/>
      <protection hidden="1"/>
    </xf>
    <xf numFmtId="9" fontId="44" fillId="45" borderId="68" xfId="2" applyFont="1" applyFill="1" applyBorder="1" applyAlignment="1" applyProtection="1">
      <alignment horizontal="center" vertical="center" wrapText="1"/>
      <protection hidden="1"/>
    </xf>
    <xf numFmtId="0" fontId="35" fillId="30" borderId="66" xfId="0" applyFont="1" applyFill="1" applyBorder="1" applyAlignment="1" applyProtection="1">
      <alignment horizontal="left" vertical="center" wrapText="1"/>
      <protection hidden="1"/>
    </xf>
    <xf numFmtId="168" fontId="50" fillId="30" borderId="69" xfId="3" applyNumberFormat="1" applyFont="1" applyFill="1" applyBorder="1" applyAlignment="1" applyProtection="1">
      <alignment horizontal="center" vertical="center" wrapText="1"/>
      <protection hidden="1"/>
    </xf>
    <xf numFmtId="0" fontId="35" fillId="0" borderId="0" xfId="0" applyFont="1" applyAlignment="1" applyProtection="1">
      <alignment horizontal="center" vertical="center"/>
      <protection hidden="1"/>
    </xf>
    <xf numFmtId="0" fontId="29" fillId="10" borderId="7" xfId="0" applyFont="1" applyFill="1" applyBorder="1" applyAlignment="1" applyProtection="1">
      <alignment horizontal="right" vertical="center"/>
      <protection hidden="1"/>
    </xf>
    <xf numFmtId="0" fontId="98" fillId="10" borderId="8" xfId="0" applyFont="1" applyFill="1" applyBorder="1" applyAlignment="1" applyProtection="1">
      <alignment horizontal="center" vertical="center" wrapText="1"/>
      <protection hidden="1"/>
    </xf>
    <xf numFmtId="165" fontId="6" fillId="9" borderId="55" xfId="0" applyNumberFormat="1" applyFont="1" applyFill="1" applyBorder="1" applyAlignment="1" applyProtection="1">
      <alignment horizontal="center" vertical="center"/>
      <protection hidden="1"/>
    </xf>
    <xf numFmtId="165" fontId="6" fillId="9" borderId="65" xfId="0" applyNumberFormat="1" applyFont="1" applyFill="1" applyBorder="1" applyAlignment="1" applyProtection="1">
      <alignment horizontal="center" vertical="center"/>
      <protection hidden="1"/>
    </xf>
    <xf numFmtId="165" fontId="6" fillId="9" borderId="3" xfId="0" applyNumberFormat="1" applyFont="1" applyFill="1" applyBorder="1" applyAlignment="1" applyProtection="1">
      <alignment horizontal="center" vertical="center"/>
      <protection hidden="1"/>
    </xf>
    <xf numFmtId="0" fontId="28" fillId="34" borderId="15" xfId="0" applyFont="1" applyFill="1" applyBorder="1" applyAlignment="1" applyProtection="1">
      <alignment horizontal="center" vertical="center" wrapText="1"/>
      <protection hidden="1"/>
    </xf>
    <xf numFmtId="0" fontId="28" fillId="34" borderId="12" xfId="0" applyFont="1" applyFill="1" applyBorder="1" applyAlignment="1" applyProtection="1">
      <alignment horizontal="center" vertical="center" wrapText="1"/>
      <protection hidden="1"/>
    </xf>
    <xf numFmtId="164" fontId="101" fillId="0" borderId="4" xfId="1" applyFont="1" applyBorder="1" applyAlignment="1" applyProtection="1">
      <alignment vertical="center"/>
      <protection hidden="1"/>
    </xf>
    <xf numFmtId="164" fontId="63" fillId="0" borderId="0" xfId="1" applyFont="1" applyBorder="1" applyAlignment="1" applyProtection="1">
      <alignment vertical="center"/>
      <protection hidden="1"/>
    </xf>
    <xf numFmtId="0" fontId="85" fillId="0" borderId="10" xfId="0" applyFont="1" applyBorder="1" applyAlignment="1" applyProtection="1">
      <alignment vertical="center"/>
      <protection hidden="1"/>
    </xf>
    <xf numFmtId="0" fontId="85"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10" xfId="0" applyBorder="1" applyAlignment="1" applyProtection="1">
      <alignment vertical="center"/>
      <protection hidden="1"/>
    </xf>
    <xf numFmtId="0" fontId="62" fillId="19" borderId="10" xfId="0" applyFont="1" applyFill="1" applyBorder="1" applyAlignment="1" applyProtection="1">
      <alignment horizontal="right" vertical="center"/>
      <protection hidden="1"/>
    </xf>
    <xf numFmtId="2" fontId="2" fillId="19" borderId="0" xfId="0" applyNumberFormat="1" applyFont="1" applyFill="1" applyAlignment="1" applyProtection="1">
      <alignment vertical="center"/>
      <protection hidden="1"/>
    </xf>
    <xf numFmtId="0" fontId="33" fillId="19" borderId="0" xfId="0" applyFont="1" applyFill="1" applyAlignment="1" applyProtection="1">
      <alignment vertical="center"/>
      <protection hidden="1"/>
    </xf>
    <xf numFmtId="0" fontId="62" fillId="19" borderId="13" xfId="0" applyFont="1" applyFill="1" applyBorder="1" applyAlignment="1" applyProtection="1">
      <alignment horizontal="right" vertical="center"/>
      <protection hidden="1"/>
    </xf>
    <xf numFmtId="0" fontId="62" fillId="19" borderId="42" xfId="0" applyFont="1" applyFill="1" applyBorder="1" applyAlignment="1" applyProtection="1">
      <alignment horizontal="right" vertical="center"/>
      <protection hidden="1"/>
    </xf>
    <xf numFmtId="0" fontId="33" fillId="19" borderId="40" xfId="0" applyFont="1" applyFill="1" applyBorder="1" applyAlignment="1" applyProtection="1">
      <alignment vertical="center"/>
      <protection hidden="1"/>
    </xf>
    <xf numFmtId="0" fontId="88" fillId="19" borderId="44" xfId="0" applyFont="1" applyFill="1" applyBorder="1" applyAlignment="1" applyProtection="1">
      <alignment horizontal="right" vertical="center"/>
      <protection hidden="1"/>
    </xf>
    <xf numFmtId="0" fontId="40" fillId="0" borderId="7" xfId="0" applyFont="1" applyBorder="1" applyAlignment="1" applyProtection="1">
      <alignment vertical="center"/>
      <protection hidden="1"/>
    </xf>
    <xf numFmtId="0" fontId="52" fillId="0" borderId="0" xfId="0" applyFont="1" applyAlignment="1" applyProtection="1">
      <alignment horizontal="left" vertical="center"/>
      <protection hidden="1"/>
    </xf>
    <xf numFmtId="0" fontId="52" fillId="24" borderId="0" xfId="0" applyFont="1" applyFill="1" applyAlignment="1" applyProtection="1">
      <alignment horizontal="left" vertical="center"/>
      <protection hidden="1"/>
    </xf>
    <xf numFmtId="0" fontId="105" fillId="24" borderId="0" xfId="1" applyNumberFormat="1" applyFont="1" applyFill="1" applyBorder="1" applyAlignment="1" applyProtection="1">
      <alignment horizontal="left" vertical="center"/>
      <protection hidden="1"/>
    </xf>
    <xf numFmtId="0" fontId="106" fillId="24" borderId="0" xfId="0" applyFont="1" applyFill="1" applyAlignment="1" applyProtection="1">
      <alignment horizontal="left" vertical="center"/>
      <protection hidden="1"/>
    </xf>
    <xf numFmtId="0" fontId="105" fillId="24" borderId="0" xfId="0" applyFont="1" applyFill="1" applyAlignment="1" applyProtection="1">
      <alignment horizontal="left" vertical="center"/>
      <protection hidden="1"/>
    </xf>
    <xf numFmtId="0" fontId="107" fillId="24" borderId="0" xfId="0" applyFont="1" applyFill="1" applyAlignment="1" applyProtection="1">
      <alignment horizontal="left" vertical="center"/>
      <protection hidden="1"/>
    </xf>
    <xf numFmtId="0" fontId="52" fillId="24" borderId="0" xfId="0" applyFont="1" applyFill="1" applyAlignment="1" applyProtection="1">
      <alignment horizontal="left" vertical="center" wrapText="1"/>
      <protection hidden="1"/>
    </xf>
    <xf numFmtId="0" fontId="106" fillId="0" borderId="0" xfId="0" applyFont="1" applyAlignment="1" applyProtection="1">
      <alignment horizontal="left" vertical="center"/>
      <protection hidden="1"/>
    </xf>
    <xf numFmtId="0" fontId="114" fillId="0" borderId="58" xfId="0" applyFont="1" applyBorder="1" applyAlignment="1" applyProtection="1">
      <alignment horizontal="right" vertical="center"/>
      <protection hidden="1"/>
    </xf>
    <xf numFmtId="0" fontId="114" fillId="0" borderId="59" xfId="0" applyFont="1" applyBorder="1" applyAlignment="1" applyProtection="1">
      <alignment vertical="center"/>
      <protection hidden="1"/>
    </xf>
    <xf numFmtId="0" fontId="114" fillId="0" borderId="59" xfId="0" applyFont="1" applyBorder="1" applyAlignment="1" applyProtection="1">
      <alignment horizontal="right" vertical="center"/>
      <protection hidden="1"/>
    </xf>
    <xf numFmtId="0" fontId="114" fillId="0" borderId="60" xfId="0" applyFont="1" applyBorder="1" applyAlignment="1" applyProtection="1">
      <alignment horizontal="center" vertical="center"/>
      <protection hidden="1"/>
    </xf>
    <xf numFmtId="0" fontId="58" fillId="0" borderId="0" xfId="0" applyFont="1" applyAlignment="1" applyProtection="1">
      <alignment vertical="center"/>
      <protection hidden="1"/>
    </xf>
    <xf numFmtId="0" fontId="58" fillId="0" borderId="0" xfId="0" applyFont="1" applyAlignment="1" applyProtection="1">
      <alignment horizontal="center" vertical="center"/>
      <protection hidden="1"/>
    </xf>
    <xf numFmtId="164" fontId="58" fillId="0" borderId="0" xfId="1" applyFont="1" applyProtection="1">
      <protection hidden="1"/>
    </xf>
    <xf numFmtId="0" fontId="81" fillId="0" borderId="0" xfId="0" applyFont="1" applyAlignment="1" applyProtection="1">
      <alignment vertical="center"/>
      <protection hidden="1"/>
    </xf>
    <xf numFmtId="0" fontId="81" fillId="0" borderId="0" xfId="0" applyFont="1" applyAlignment="1" applyProtection="1">
      <alignment horizontal="center" vertical="center"/>
      <protection hidden="1"/>
    </xf>
    <xf numFmtId="164" fontId="81" fillId="0" borderId="0" xfId="1" applyFont="1" applyProtection="1">
      <protection hidden="1"/>
    </xf>
    <xf numFmtId="0" fontId="118" fillId="0" borderId="10" xfId="0" applyFont="1" applyBorder="1" applyAlignment="1" applyProtection="1">
      <alignment vertical="center"/>
      <protection hidden="1"/>
    </xf>
    <xf numFmtId="0" fontId="118" fillId="0" borderId="0" xfId="0" applyFont="1" applyAlignment="1" applyProtection="1">
      <alignment horizontal="center" vertical="center"/>
      <protection hidden="1"/>
    </xf>
    <xf numFmtId="164" fontId="58" fillId="0" borderId="0" xfId="1" applyFont="1" applyBorder="1" applyAlignment="1" applyProtection="1">
      <alignment vertical="center"/>
      <protection hidden="1"/>
    </xf>
    <xf numFmtId="0" fontId="119" fillId="0" borderId="10" xfId="0" applyFont="1" applyBorder="1" applyAlignment="1" applyProtection="1">
      <alignment vertical="center"/>
      <protection hidden="1"/>
    </xf>
    <xf numFmtId="0" fontId="119" fillId="0" borderId="0" xfId="0" applyFont="1" applyAlignment="1" applyProtection="1">
      <alignment horizontal="center" vertical="center"/>
      <protection hidden="1"/>
    </xf>
    <xf numFmtId="164" fontId="81" fillId="0" borderId="0" xfId="1" applyFont="1" applyBorder="1" applyAlignment="1" applyProtection="1">
      <alignment vertical="center"/>
      <protection hidden="1"/>
    </xf>
    <xf numFmtId="0" fontId="120" fillId="0" borderId="0" xfId="0" applyFont="1" applyAlignment="1" applyProtection="1">
      <alignment horizontal="left" vertical="center"/>
      <protection hidden="1"/>
    </xf>
    <xf numFmtId="0" fontId="0" fillId="0" borderId="0" xfId="0" applyAlignment="1" applyProtection="1">
      <alignment vertical="center"/>
      <protection hidden="1"/>
    </xf>
    <xf numFmtId="164" fontId="33" fillId="0" borderId="0" xfId="1" applyProtection="1">
      <protection hidden="1"/>
    </xf>
    <xf numFmtId="0" fontId="121" fillId="0" borderId="0" xfId="0" applyFont="1" applyProtection="1">
      <protection hidden="1"/>
    </xf>
    <xf numFmtId="0" fontId="58" fillId="0" borderId="0" xfId="0" applyFont="1" applyProtection="1">
      <protection hidden="1"/>
    </xf>
    <xf numFmtId="0" fontId="0" fillId="0" borderId="0" xfId="0" applyAlignment="1" applyProtection="1">
      <alignment horizontal="center" vertical="center"/>
      <protection hidden="1"/>
    </xf>
    <xf numFmtId="0" fontId="128" fillId="0" borderId="0" xfId="0" applyFont="1" applyAlignment="1" applyProtection="1">
      <alignment vertical="center"/>
      <protection hidden="1"/>
    </xf>
    <xf numFmtId="0" fontId="110" fillId="0" borderId="0" xfId="0" applyFont="1" applyAlignment="1" applyProtection="1">
      <alignment vertical="center"/>
      <protection hidden="1"/>
    </xf>
    <xf numFmtId="164" fontId="40" fillId="0" borderId="0" xfId="1" applyFont="1" applyProtection="1">
      <protection hidden="1"/>
    </xf>
    <xf numFmtId="0" fontId="133" fillId="0" borderId="0" xfId="0" applyFont="1" applyAlignment="1" applyProtection="1">
      <alignment horizontal="right" vertical="center"/>
      <protection hidden="1"/>
    </xf>
    <xf numFmtId="164" fontId="60" fillId="0" borderId="0" xfId="1" applyFont="1" applyProtection="1">
      <protection hidden="1"/>
    </xf>
    <xf numFmtId="0" fontId="96" fillId="0" borderId="18" xfId="0" applyFont="1" applyBorder="1" applyAlignment="1" applyProtection="1">
      <alignment vertical="center"/>
      <protection hidden="1"/>
    </xf>
    <xf numFmtId="164" fontId="35" fillId="0" borderId="20" xfId="1" applyFont="1" applyBorder="1" applyAlignment="1" applyProtection="1">
      <alignment vertical="center"/>
      <protection hidden="1"/>
    </xf>
    <xf numFmtId="0" fontId="41" fillId="0" borderId="0" xfId="0" applyFont="1" applyAlignment="1" applyProtection="1">
      <alignment vertical="center"/>
      <protection hidden="1"/>
    </xf>
    <xf numFmtId="164" fontId="48" fillId="47" borderId="23" xfId="1" applyFont="1" applyFill="1" applyBorder="1" applyProtection="1">
      <protection hidden="1"/>
    </xf>
    <xf numFmtId="164" fontId="33" fillId="47" borderId="23" xfId="1" applyFill="1" applyBorder="1" applyProtection="1">
      <protection hidden="1"/>
    </xf>
    <xf numFmtId="164" fontId="63" fillId="0" borderId="0" xfId="1" applyFont="1" applyProtection="1">
      <protection hidden="1"/>
    </xf>
    <xf numFmtId="164" fontId="136" fillId="13" borderId="25" xfId="1" applyFont="1" applyFill="1" applyBorder="1" applyProtection="1">
      <protection hidden="1"/>
    </xf>
    <xf numFmtId="0" fontId="52" fillId="50" borderId="0" xfId="0" applyFont="1" applyFill="1" applyAlignment="1" applyProtection="1">
      <alignment horizontal="left" vertical="center"/>
      <protection hidden="1"/>
    </xf>
    <xf numFmtId="164" fontId="40" fillId="50" borderId="4" xfId="1" applyFont="1" applyFill="1" applyBorder="1" applyAlignment="1" applyProtection="1">
      <alignment horizontal="center" vertical="center"/>
      <protection hidden="1"/>
    </xf>
    <xf numFmtId="0" fontId="106" fillId="50" borderId="0" xfId="0" applyFont="1" applyFill="1" applyAlignment="1" applyProtection="1">
      <alignment horizontal="left" vertical="center"/>
      <protection hidden="1"/>
    </xf>
    <xf numFmtId="168" fontId="35" fillId="0" borderId="0" xfId="0" applyNumberFormat="1" applyFont="1" applyProtection="1">
      <protection hidden="1"/>
    </xf>
    <xf numFmtId="0" fontId="52" fillId="53" borderId="0" xfId="0" applyFont="1" applyFill="1" applyAlignment="1" applyProtection="1">
      <alignment horizontal="left" vertical="center"/>
      <protection hidden="1"/>
    </xf>
    <xf numFmtId="0" fontId="41" fillId="0" borderId="0" xfId="0" applyFont="1" applyProtection="1">
      <protection hidden="1"/>
    </xf>
    <xf numFmtId="0" fontId="61" fillId="13" borderId="0" xfId="0" applyFont="1" applyFill="1" applyAlignment="1" applyProtection="1">
      <alignment horizontal="center"/>
      <protection hidden="1"/>
    </xf>
    <xf numFmtId="0" fontId="48" fillId="13" borderId="0" xfId="0" applyFont="1" applyFill="1" applyAlignment="1" applyProtection="1">
      <alignment horizontal="center"/>
      <protection hidden="1"/>
    </xf>
    <xf numFmtId="0" fontId="0" fillId="47" borderId="0" xfId="0" applyFill="1" applyProtection="1">
      <protection hidden="1"/>
    </xf>
    <xf numFmtId="0" fontId="48" fillId="47" borderId="60" xfId="0" applyFont="1" applyFill="1" applyBorder="1" applyAlignment="1" applyProtection="1">
      <alignment horizontal="center" vertical="center"/>
      <protection hidden="1"/>
    </xf>
    <xf numFmtId="14" fontId="48" fillId="13" borderId="0" xfId="0" applyNumberFormat="1" applyFont="1" applyFill="1" applyAlignment="1" applyProtection="1">
      <alignment horizontal="center"/>
      <protection hidden="1"/>
    </xf>
    <xf numFmtId="14" fontId="67" fillId="13" borderId="0" xfId="0" applyNumberFormat="1" applyFont="1" applyFill="1" applyAlignment="1" applyProtection="1">
      <alignment horizontal="center"/>
      <protection hidden="1"/>
    </xf>
    <xf numFmtId="0" fontId="35" fillId="14" borderId="0" xfId="0" applyFont="1" applyFill="1" applyProtection="1">
      <protection hidden="1"/>
    </xf>
    <xf numFmtId="168" fontId="65" fillId="13" borderId="0" xfId="0" applyNumberFormat="1" applyFont="1" applyFill="1" applyProtection="1">
      <protection hidden="1"/>
    </xf>
    <xf numFmtId="0" fontId="35" fillId="0" borderId="0" xfId="0" applyFont="1" applyProtection="1">
      <protection hidden="1"/>
    </xf>
    <xf numFmtId="0" fontId="35" fillId="14" borderId="54" xfId="0" applyFont="1" applyFill="1" applyBorder="1" applyProtection="1">
      <protection hidden="1"/>
    </xf>
    <xf numFmtId="168" fontId="65" fillId="13" borderId="54" xfId="0" applyNumberFormat="1" applyFont="1" applyFill="1" applyBorder="1" applyProtection="1">
      <protection hidden="1"/>
    </xf>
    <xf numFmtId="0" fontId="33" fillId="0" borderId="0" xfId="0" applyFont="1" applyProtection="1">
      <protection hidden="1"/>
    </xf>
    <xf numFmtId="0" fontId="127" fillId="13" borderId="0" xfId="0" applyFont="1" applyFill="1" applyProtection="1">
      <protection hidden="1"/>
    </xf>
    <xf numFmtId="0" fontId="48" fillId="13" borderId="0" xfId="0" applyFont="1" applyFill="1" applyProtection="1">
      <protection hidden="1"/>
    </xf>
    <xf numFmtId="164" fontId="30" fillId="13" borderId="79" xfId="1" applyFont="1" applyFill="1" applyBorder="1" applyProtection="1">
      <protection locked="0"/>
    </xf>
    <xf numFmtId="10" fontId="48" fillId="13" borderId="28" xfId="2" applyNumberFormat="1" applyFont="1" applyFill="1" applyBorder="1" applyProtection="1">
      <protection locked="0"/>
    </xf>
    <xf numFmtId="0" fontId="0" fillId="0" borderId="84" xfId="0" applyBorder="1" applyProtection="1">
      <protection locked="0"/>
    </xf>
    <xf numFmtId="10" fontId="48" fillId="13" borderId="33" xfId="2" applyNumberFormat="1" applyFont="1" applyFill="1" applyBorder="1" applyProtection="1">
      <protection locked="0"/>
    </xf>
    <xf numFmtId="10" fontId="48" fillId="13" borderId="85" xfId="2" applyNumberFormat="1" applyFont="1" applyFill="1" applyBorder="1" applyProtection="1">
      <protection locked="0"/>
    </xf>
    <xf numFmtId="0" fontId="35" fillId="0" borderId="34" xfId="0" applyFont="1" applyBorder="1" applyProtection="1">
      <protection hidden="1"/>
    </xf>
    <xf numFmtId="10" fontId="0" fillId="0" borderId="36" xfId="0" applyNumberFormat="1" applyBorder="1" applyProtection="1">
      <protection hidden="1"/>
    </xf>
    <xf numFmtId="10" fontId="0" fillId="0" borderId="83" xfId="0" applyNumberFormat="1" applyBorder="1" applyProtection="1">
      <protection hidden="1"/>
    </xf>
    <xf numFmtId="10" fontId="0" fillId="0" borderId="30" xfId="0" applyNumberFormat="1" applyBorder="1" applyProtection="1">
      <protection hidden="1"/>
    </xf>
    <xf numFmtId="10" fontId="0" fillId="0" borderId="31" xfId="0" applyNumberFormat="1" applyBorder="1" applyProtection="1">
      <protection hidden="1"/>
    </xf>
    <xf numFmtId="10" fontId="48" fillId="13" borderId="3" xfId="2" applyNumberFormat="1" applyFont="1" applyFill="1" applyBorder="1" applyProtection="1">
      <protection hidden="1"/>
    </xf>
    <xf numFmtId="10" fontId="48" fillId="13" borderId="4" xfId="2" applyNumberFormat="1" applyFont="1" applyFill="1" applyBorder="1" applyProtection="1">
      <protection hidden="1"/>
    </xf>
    <xf numFmtId="10" fontId="48" fillId="13" borderId="28" xfId="2" applyNumberFormat="1" applyFont="1" applyFill="1" applyBorder="1" applyProtection="1">
      <protection hidden="1"/>
    </xf>
    <xf numFmtId="0" fontId="0" fillId="0" borderId="27" xfId="0" applyBorder="1" applyProtection="1">
      <protection hidden="1"/>
    </xf>
    <xf numFmtId="0" fontId="0" fillId="0" borderId="32" xfId="0" applyBorder="1" applyProtection="1">
      <protection hidden="1"/>
    </xf>
    <xf numFmtId="0" fontId="58" fillId="6" borderId="10" xfId="0" applyFont="1" applyFill="1" applyBorder="1" applyProtection="1">
      <protection hidden="1"/>
    </xf>
    <xf numFmtId="164" fontId="118" fillId="13" borderId="0" xfId="1" applyFont="1" applyFill="1" applyBorder="1" applyProtection="1">
      <protection hidden="1"/>
    </xf>
    <xf numFmtId="164" fontId="118" fillId="0" borderId="0" xfId="1" applyFont="1" applyBorder="1" applyProtection="1">
      <protection hidden="1"/>
    </xf>
    <xf numFmtId="164" fontId="118" fillId="0" borderId="11" xfId="1" applyFont="1" applyBorder="1" applyProtection="1">
      <protection hidden="1"/>
    </xf>
    <xf numFmtId="0" fontId="0" fillId="49" borderId="0" xfId="0" applyFill="1" applyProtection="1">
      <protection hidden="1"/>
    </xf>
    <xf numFmtId="0" fontId="0" fillId="48" borderId="10" xfId="0" applyFill="1" applyBorder="1" applyProtection="1">
      <protection hidden="1"/>
    </xf>
    <xf numFmtId="164" fontId="32" fillId="49" borderId="0" xfId="1" applyFont="1" applyFill="1" applyBorder="1" applyProtection="1">
      <protection hidden="1"/>
    </xf>
    <xf numFmtId="164" fontId="32" fillId="49" borderId="11" xfId="1" applyFont="1" applyFill="1" applyBorder="1" applyProtection="1">
      <protection hidden="1"/>
    </xf>
    <xf numFmtId="0" fontId="33" fillId="48" borderId="18" xfId="0" applyFont="1" applyFill="1" applyBorder="1" applyProtection="1">
      <protection hidden="1"/>
    </xf>
    <xf numFmtId="164" fontId="30" fillId="49" borderId="19" xfId="1" applyFont="1" applyFill="1" applyBorder="1" applyProtection="1">
      <protection hidden="1"/>
    </xf>
    <xf numFmtId="164" fontId="31" fillId="49" borderId="19" xfId="1" applyFont="1" applyFill="1" applyBorder="1" applyProtection="1">
      <protection hidden="1"/>
    </xf>
    <xf numFmtId="164" fontId="31" fillId="49" borderId="20" xfId="1" applyFont="1" applyFill="1" applyBorder="1" applyProtection="1">
      <protection hidden="1"/>
    </xf>
    <xf numFmtId="0" fontId="35" fillId="6" borderId="34" xfId="0" applyFont="1" applyFill="1" applyBorder="1" applyProtection="1">
      <protection hidden="1"/>
    </xf>
    <xf numFmtId="165" fontId="35" fillId="2" borderId="36" xfId="0" applyNumberFormat="1" applyFont="1" applyFill="1" applyBorder="1" applyAlignment="1" applyProtection="1">
      <alignment horizontal="center"/>
      <protection hidden="1"/>
    </xf>
    <xf numFmtId="165" fontId="1" fillId="2" borderId="82" xfId="0" applyNumberFormat="1" applyFont="1" applyFill="1" applyBorder="1" applyAlignment="1" applyProtection="1">
      <alignment horizontal="center"/>
      <protection hidden="1"/>
    </xf>
    <xf numFmtId="165" fontId="1" fillId="2" borderId="81" xfId="0" applyNumberFormat="1" applyFont="1" applyFill="1" applyBorder="1" applyAlignment="1" applyProtection="1">
      <alignment horizontal="center"/>
      <protection hidden="1"/>
    </xf>
    <xf numFmtId="165" fontId="1" fillId="2" borderId="77" xfId="0" applyNumberFormat="1" applyFont="1" applyFill="1" applyBorder="1" applyAlignment="1" applyProtection="1">
      <alignment horizontal="center"/>
      <protection hidden="1"/>
    </xf>
    <xf numFmtId="164" fontId="30" fillId="13" borderId="79" xfId="1" applyFont="1" applyFill="1" applyBorder="1" applyProtection="1">
      <protection hidden="1"/>
    </xf>
    <xf numFmtId="164" fontId="30" fillId="13" borderId="80" xfId="1" applyFont="1" applyFill="1" applyBorder="1" applyProtection="1">
      <protection hidden="1"/>
    </xf>
    <xf numFmtId="0" fontId="34" fillId="6" borderId="78" xfId="0" applyFont="1" applyFill="1" applyBorder="1" applyProtection="1">
      <protection hidden="1"/>
    </xf>
    <xf numFmtId="165" fontId="1" fillId="2" borderId="8" xfId="0" applyNumberFormat="1" applyFont="1" applyFill="1" applyBorder="1" applyAlignment="1" applyProtection="1">
      <alignment horizontal="center"/>
      <protection hidden="1"/>
    </xf>
    <xf numFmtId="165" fontId="1" fillId="2" borderId="9" xfId="0" applyNumberFormat="1" applyFont="1" applyFill="1" applyBorder="1" applyAlignment="1" applyProtection="1">
      <alignment horizontal="center"/>
      <protection hidden="1"/>
    </xf>
    <xf numFmtId="0" fontId="35" fillId="6" borderId="7" xfId="0" applyFont="1" applyFill="1" applyBorder="1" applyProtection="1">
      <protection hidden="1"/>
    </xf>
    <xf numFmtId="0" fontId="130" fillId="0" borderId="0" xfId="0" applyFont="1" applyAlignment="1" applyProtection="1">
      <alignment horizontal="center" wrapText="1"/>
      <protection hidden="1"/>
    </xf>
    <xf numFmtId="0" fontId="1" fillId="6" borderId="34" xfId="0" applyFont="1" applyFill="1" applyBorder="1" applyProtection="1">
      <protection hidden="1"/>
    </xf>
    <xf numFmtId="0" fontId="1" fillId="6" borderId="35" xfId="0" applyFont="1" applyFill="1" applyBorder="1" applyProtection="1">
      <protection hidden="1"/>
    </xf>
    <xf numFmtId="0" fontId="1" fillId="6" borderId="36" xfId="0" applyFont="1" applyFill="1" applyBorder="1" applyProtection="1">
      <protection hidden="1"/>
    </xf>
    <xf numFmtId="0" fontId="73" fillId="0" borderId="22" xfId="0" applyFont="1" applyBorder="1" applyProtection="1">
      <protection hidden="1"/>
    </xf>
    <xf numFmtId="0" fontId="2" fillId="0" borderId="22" xfId="0" applyFont="1" applyBorder="1" applyProtection="1">
      <protection hidden="1"/>
    </xf>
    <xf numFmtId="164" fontId="48" fillId="13" borderId="23" xfId="1" applyFont="1" applyFill="1" applyBorder="1" applyProtection="1">
      <protection hidden="1"/>
    </xf>
    <xf numFmtId="0" fontId="21" fillId="0" borderId="32" xfId="0" applyFont="1" applyBorder="1" applyProtection="1">
      <protection hidden="1"/>
    </xf>
    <xf numFmtId="0" fontId="2" fillId="0" borderId="2" xfId="0" applyFont="1" applyBorder="1" applyProtection="1">
      <protection hidden="1"/>
    </xf>
    <xf numFmtId="164" fontId="48" fillId="14" borderId="33" xfId="1" applyFont="1" applyFill="1" applyBorder="1" applyProtection="1">
      <protection hidden="1"/>
    </xf>
    <xf numFmtId="166" fontId="2" fillId="0" borderId="0" xfId="0" applyNumberFormat="1" applyFont="1" applyProtection="1">
      <protection hidden="1"/>
    </xf>
    <xf numFmtId="0" fontId="73" fillId="0" borderId="21" xfId="0" applyFont="1" applyBorder="1" applyProtection="1">
      <protection hidden="1"/>
    </xf>
    <xf numFmtId="164" fontId="48" fillId="13" borderId="24" xfId="1" applyFont="1" applyFill="1" applyBorder="1" applyProtection="1">
      <protection hidden="1"/>
    </xf>
    <xf numFmtId="0" fontId="21" fillId="0" borderId="27" xfId="0" applyFont="1" applyBorder="1" applyProtection="1">
      <protection hidden="1"/>
    </xf>
    <xf numFmtId="0" fontId="2" fillId="0" borderId="4" xfId="0" applyFont="1" applyBorder="1" applyProtection="1">
      <protection hidden="1"/>
    </xf>
    <xf numFmtId="164" fontId="48" fillId="13" borderId="28" xfId="1" applyFont="1" applyFill="1" applyBorder="1" applyProtection="1">
      <protection hidden="1"/>
    </xf>
    <xf numFmtId="164" fontId="44" fillId="0" borderId="28" xfId="1" applyFont="1" applyBorder="1" applyProtection="1">
      <protection hidden="1"/>
    </xf>
    <xf numFmtId="0" fontId="73" fillId="0" borderId="25" xfId="0" applyFont="1" applyBorder="1" applyProtection="1">
      <protection hidden="1"/>
    </xf>
    <xf numFmtId="164" fontId="44" fillId="0" borderId="26" xfId="1" applyFont="1" applyBorder="1" applyProtection="1">
      <protection hidden="1"/>
    </xf>
    <xf numFmtId="0" fontId="2" fillId="0" borderId="0" xfId="0" applyFont="1" applyProtection="1">
      <protection hidden="1"/>
    </xf>
    <xf numFmtId="2" fontId="3" fillId="0" borderId="0" xfId="0" applyNumberFormat="1" applyFont="1" applyProtection="1">
      <protection hidden="1"/>
    </xf>
    <xf numFmtId="2" fontId="2" fillId="0" borderId="0" xfId="0" applyNumberFormat="1" applyFont="1" applyProtection="1">
      <protection hidden="1"/>
    </xf>
    <xf numFmtId="0" fontId="2" fillId="14" borderId="76" xfId="0" applyFont="1" applyFill="1" applyBorder="1" applyProtection="1">
      <protection hidden="1"/>
    </xf>
    <xf numFmtId="0" fontId="65" fillId="13" borderId="77" xfId="0" applyFont="1" applyFill="1" applyBorder="1" applyProtection="1">
      <protection hidden="1"/>
    </xf>
    <xf numFmtId="167" fontId="3" fillId="13" borderId="28" xfId="0" applyNumberFormat="1" applyFont="1" applyFill="1" applyBorder="1" applyProtection="1">
      <protection hidden="1"/>
    </xf>
    <xf numFmtId="0" fontId="58" fillId="0" borderId="29" xfId="0" applyFont="1" applyBorder="1" applyProtection="1">
      <protection hidden="1"/>
    </xf>
    <xf numFmtId="0" fontId="65" fillId="13" borderId="31" xfId="0" applyFont="1" applyFill="1" applyBorder="1" applyProtection="1">
      <protection hidden="1"/>
    </xf>
    <xf numFmtId="0" fontId="4" fillId="0" borderId="0" xfId="0" applyFont="1" applyProtection="1">
      <protection hidden="1"/>
    </xf>
    <xf numFmtId="0" fontId="21" fillId="0" borderId="29" xfId="0" applyFont="1" applyBorder="1" applyProtection="1">
      <protection hidden="1"/>
    </xf>
    <xf numFmtId="0" fontId="2" fillId="0" borderId="30" xfId="0" applyFont="1" applyBorder="1" applyProtection="1">
      <protection hidden="1"/>
    </xf>
    <xf numFmtId="164" fontId="44" fillId="0" borderId="31" xfId="1" applyFont="1" applyBorder="1" applyProtection="1">
      <protection hidden="1"/>
    </xf>
    <xf numFmtId="9" fontId="33" fillId="0" borderId="0" xfId="0" applyNumberFormat="1" applyFont="1" applyAlignment="1" applyProtection="1">
      <alignment horizontal="left"/>
      <protection hidden="1"/>
    </xf>
    <xf numFmtId="0" fontId="50" fillId="7" borderId="25" xfId="0" applyFont="1" applyFill="1" applyBorder="1" applyProtection="1">
      <protection hidden="1"/>
    </xf>
    <xf numFmtId="0" fontId="50" fillId="0" borderId="25" xfId="0" applyFont="1" applyBorder="1" applyAlignment="1" applyProtection="1">
      <alignment horizontal="center"/>
      <protection hidden="1"/>
    </xf>
    <xf numFmtId="0" fontId="35" fillId="7" borderId="34" xfId="0" applyFont="1" applyFill="1" applyBorder="1" applyAlignment="1" applyProtection="1">
      <alignment horizontal="center"/>
      <protection hidden="1"/>
    </xf>
    <xf numFmtId="0" fontId="35" fillId="0" borderId="36" xfId="0" applyFont="1" applyBorder="1" applyAlignment="1" applyProtection="1">
      <alignment horizontal="center"/>
      <protection hidden="1"/>
    </xf>
    <xf numFmtId="164" fontId="48" fillId="13" borderId="32" xfId="1" applyFont="1" applyFill="1" applyBorder="1" applyProtection="1">
      <protection hidden="1"/>
    </xf>
    <xf numFmtId="164" fontId="48" fillId="13" borderId="33" xfId="1" applyFont="1" applyFill="1" applyBorder="1" applyProtection="1">
      <protection hidden="1"/>
    </xf>
    <xf numFmtId="164" fontId="48" fillId="13" borderId="27" xfId="1" applyFont="1" applyFill="1" applyBorder="1" applyProtection="1">
      <protection hidden="1"/>
    </xf>
    <xf numFmtId="164" fontId="48" fillId="13" borderId="29" xfId="1" applyFont="1" applyFill="1" applyBorder="1" applyProtection="1">
      <protection hidden="1"/>
    </xf>
    <xf numFmtId="164" fontId="48" fillId="13" borderId="31" xfId="1" applyFont="1" applyFill="1" applyBorder="1" applyProtection="1">
      <protection hidden="1"/>
    </xf>
    <xf numFmtId="0" fontId="29" fillId="0" borderId="0" xfId="0" applyFont="1" applyProtection="1">
      <protection hidden="1"/>
    </xf>
    <xf numFmtId="0" fontId="1" fillId="7" borderId="62" xfId="0" applyFont="1" applyFill="1" applyBorder="1" applyAlignment="1" applyProtection="1">
      <alignment horizontal="center" vertical="center"/>
      <protection hidden="1"/>
    </xf>
    <xf numFmtId="0" fontId="1" fillId="7" borderId="63" xfId="0" applyFont="1" applyFill="1" applyBorder="1" applyAlignment="1" applyProtection="1">
      <alignment horizontal="center" vertical="center"/>
      <protection hidden="1"/>
    </xf>
    <xf numFmtId="0" fontId="1" fillId="7" borderId="64" xfId="0" applyFont="1" applyFill="1" applyBorder="1" applyAlignment="1" applyProtection="1">
      <alignment horizontal="center" vertical="center"/>
      <protection hidden="1"/>
    </xf>
    <xf numFmtId="0" fontId="73" fillId="0" borderId="4" xfId="0" applyFont="1" applyBorder="1" applyProtection="1">
      <protection hidden="1"/>
    </xf>
    <xf numFmtId="164" fontId="30" fillId="13" borderId="4" xfId="1" applyFont="1" applyFill="1" applyBorder="1" applyProtection="1">
      <protection hidden="1"/>
    </xf>
    <xf numFmtId="164" fontId="73" fillId="0" borderId="4" xfId="1" applyFont="1" applyBorder="1" applyProtection="1">
      <protection hidden="1"/>
    </xf>
    <xf numFmtId="0" fontId="73" fillId="8" borderId="4" xfId="0" applyFont="1" applyFill="1" applyBorder="1" applyProtection="1">
      <protection hidden="1"/>
    </xf>
    <xf numFmtId="0" fontId="73" fillId="8" borderId="4" xfId="0" applyFont="1" applyFill="1" applyBorder="1" applyAlignment="1" applyProtection="1">
      <alignment wrapText="1"/>
      <protection hidden="1"/>
    </xf>
    <xf numFmtId="164" fontId="3" fillId="0" borderId="0" xfId="1" applyFont="1" applyBorder="1" applyProtection="1">
      <protection hidden="1"/>
    </xf>
    <xf numFmtId="164" fontId="2" fillId="0" borderId="0" xfId="1" applyFont="1" applyBorder="1" applyProtection="1">
      <protection hidden="1"/>
    </xf>
    <xf numFmtId="0" fontId="35" fillId="7" borderId="46" xfId="0" applyFont="1" applyFill="1" applyBorder="1" applyAlignment="1" applyProtection="1">
      <alignment horizontal="center" vertical="center"/>
      <protection hidden="1"/>
    </xf>
    <xf numFmtId="0" fontId="1" fillId="7" borderId="47" xfId="0" applyFont="1" applyFill="1" applyBorder="1" applyAlignment="1" applyProtection="1">
      <alignment horizontal="center" vertical="center"/>
      <protection hidden="1"/>
    </xf>
    <xf numFmtId="0" fontId="1" fillId="7" borderId="48" xfId="0" applyFont="1" applyFill="1" applyBorder="1" applyAlignment="1" applyProtection="1">
      <alignment horizontal="center" vertical="center"/>
      <protection hidden="1"/>
    </xf>
    <xf numFmtId="0" fontId="3" fillId="13" borderId="2" xfId="0" applyFont="1" applyFill="1" applyBorder="1" applyAlignment="1" applyProtection="1">
      <alignment horizontal="center"/>
      <protection hidden="1"/>
    </xf>
    <xf numFmtId="0" fontId="3" fillId="13" borderId="4" xfId="0" applyFont="1" applyFill="1" applyBorder="1" applyAlignment="1" applyProtection="1">
      <alignment horizontal="center"/>
      <protection hidden="1"/>
    </xf>
    <xf numFmtId="0" fontId="33" fillId="0" borderId="4" xfId="0" applyFont="1" applyBorder="1" applyProtection="1">
      <protection hidden="1"/>
    </xf>
    <xf numFmtId="0" fontId="1" fillId="7" borderId="47" xfId="0" applyFont="1" applyFill="1" applyBorder="1" applyAlignment="1" applyProtection="1">
      <alignment horizontal="center" vertical="center"/>
      <protection locked="0"/>
    </xf>
    <xf numFmtId="0" fontId="44" fillId="0" borderId="0" xfId="0" applyFont="1" applyAlignment="1" applyProtection="1">
      <alignment vertical="center"/>
      <protection hidden="1"/>
    </xf>
    <xf numFmtId="0" fontId="59" fillId="0" borderId="0" xfId="0" applyFont="1" applyAlignment="1" applyProtection="1">
      <alignment horizontal="center" vertical="center"/>
      <protection hidden="1"/>
    </xf>
    <xf numFmtId="0" fontId="68"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65" fillId="13" borderId="4" xfId="0" applyFont="1" applyFill="1" applyBorder="1" applyAlignment="1" applyProtection="1">
      <alignment horizontal="center" vertical="center"/>
      <protection hidden="1"/>
    </xf>
    <xf numFmtId="0" fontId="41" fillId="0" borderId="0" xfId="0" applyFont="1" applyAlignment="1" applyProtection="1">
      <alignment horizontal="center" vertical="center"/>
      <protection hidden="1"/>
    </xf>
    <xf numFmtId="14" fontId="65" fillId="0" borderId="0" xfId="0" applyNumberFormat="1" applyFont="1" applyAlignment="1" applyProtection="1">
      <alignment horizontal="center" vertical="center"/>
      <protection hidden="1"/>
    </xf>
    <xf numFmtId="0" fontId="126" fillId="0" borderId="0" xfId="0" applyFont="1" applyAlignment="1" applyProtection="1">
      <alignment horizontal="center" vertical="center"/>
      <protection hidden="1"/>
    </xf>
    <xf numFmtId="0" fontId="49" fillId="37" borderId="0" xfId="0" applyFont="1" applyFill="1" applyAlignment="1" applyProtection="1">
      <alignment vertical="center"/>
      <protection hidden="1"/>
    </xf>
    <xf numFmtId="0" fontId="2" fillId="37" borderId="0" xfId="0" applyFont="1" applyFill="1" applyAlignment="1" applyProtection="1">
      <alignment vertical="center"/>
      <protection hidden="1"/>
    </xf>
    <xf numFmtId="164" fontId="7" fillId="0" borderId="0" xfId="1" applyFont="1" applyBorder="1" applyAlignment="1" applyProtection="1">
      <alignment vertical="center"/>
      <protection hidden="1"/>
    </xf>
    <xf numFmtId="2" fontId="2" fillId="0" borderId="0" xfId="0" applyNumberFormat="1" applyFont="1" applyAlignment="1" applyProtection="1">
      <alignment vertical="center"/>
      <protection hidden="1"/>
    </xf>
    <xf numFmtId="0" fontId="49" fillId="30" borderId="0" xfId="0" applyFont="1" applyFill="1" applyAlignment="1" applyProtection="1">
      <alignment vertical="center"/>
      <protection hidden="1"/>
    </xf>
    <xf numFmtId="0" fontId="2" fillId="30" borderId="54" xfId="0" applyFont="1" applyFill="1" applyBorder="1" applyAlignment="1" applyProtection="1">
      <alignment vertical="center"/>
      <protection hidden="1"/>
    </xf>
    <xf numFmtId="0" fontId="2" fillId="0" borderId="4" xfId="0" applyFont="1" applyBorder="1" applyAlignment="1" applyProtection="1">
      <alignment vertical="center"/>
      <protection hidden="1"/>
    </xf>
    <xf numFmtId="0" fontId="95" fillId="0" borderId="4"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164" fontId="3" fillId="13" borderId="4" xfId="1" applyFont="1" applyFill="1" applyBorder="1" applyAlignment="1" applyProtection="1">
      <alignment vertical="center"/>
      <protection hidden="1"/>
    </xf>
    <xf numFmtId="164" fontId="44" fillId="0" borderId="4" xfId="1" applyFont="1" applyBorder="1" applyAlignment="1" applyProtection="1">
      <alignment vertical="center"/>
      <protection hidden="1"/>
    </xf>
    <xf numFmtId="164" fontId="58" fillId="0" borderId="4" xfId="1" applyFont="1" applyBorder="1" applyAlignment="1" applyProtection="1">
      <alignment vertical="center"/>
      <protection hidden="1"/>
    </xf>
    <xf numFmtId="0" fontId="23" fillId="0" borderId="4" xfId="0" applyFont="1" applyBorder="1" applyAlignment="1" applyProtection="1">
      <alignment vertical="center"/>
      <protection hidden="1"/>
    </xf>
    <xf numFmtId="0" fontId="23" fillId="50" borderId="4" xfId="0" applyFont="1" applyFill="1" applyBorder="1" applyAlignment="1" applyProtection="1">
      <alignment vertical="center"/>
      <protection hidden="1"/>
    </xf>
    <xf numFmtId="0" fontId="95" fillId="50" borderId="4" xfId="0" applyFont="1" applyFill="1" applyBorder="1" applyAlignment="1" applyProtection="1">
      <alignment horizontal="center" vertical="center"/>
      <protection hidden="1"/>
    </xf>
    <xf numFmtId="0" fontId="2" fillId="50" borderId="4" xfId="0" applyFont="1" applyFill="1" applyBorder="1" applyAlignment="1" applyProtection="1">
      <alignment horizontal="center" vertical="center"/>
      <protection hidden="1"/>
    </xf>
    <xf numFmtId="164" fontId="3" fillId="50" borderId="4" xfId="1" applyFont="1" applyFill="1" applyBorder="1" applyAlignment="1" applyProtection="1">
      <alignment vertical="center"/>
      <protection hidden="1"/>
    </xf>
    <xf numFmtId="164" fontId="44" fillId="50" borderId="4" xfId="1" applyFont="1" applyFill="1" applyBorder="1" applyAlignment="1" applyProtection="1">
      <alignment vertical="center"/>
      <protection hidden="1"/>
    </xf>
    <xf numFmtId="164" fontId="58" fillId="50" borderId="4" xfId="1" applyFont="1" applyFill="1" applyBorder="1" applyAlignment="1" applyProtection="1">
      <alignment vertical="center"/>
      <protection hidden="1"/>
    </xf>
    <xf numFmtId="2" fontId="2" fillId="50" borderId="0" xfId="0" applyNumberFormat="1" applyFont="1" applyFill="1" applyAlignment="1" applyProtection="1">
      <alignment vertical="center"/>
      <protection hidden="1"/>
    </xf>
    <xf numFmtId="0" fontId="0" fillId="50" borderId="0" xfId="0" applyFill="1" applyAlignment="1" applyProtection="1">
      <alignment vertical="center"/>
      <protection hidden="1"/>
    </xf>
    <xf numFmtId="164" fontId="12" fillId="0" borderId="4" xfId="1" applyFont="1" applyBorder="1" applyAlignment="1" applyProtection="1">
      <alignment vertical="center"/>
      <protection hidden="1"/>
    </xf>
    <xf numFmtId="164" fontId="3" fillId="0" borderId="6" xfId="1" applyFont="1" applyBorder="1" applyAlignment="1" applyProtection="1">
      <alignment vertical="center"/>
      <protection hidden="1"/>
    </xf>
    <xf numFmtId="164" fontId="44" fillId="0" borderId="6" xfId="1" applyFont="1" applyBorder="1" applyAlignment="1" applyProtection="1">
      <alignment vertical="center"/>
      <protection hidden="1"/>
    </xf>
    <xf numFmtId="164" fontId="58" fillId="0" borderId="6" xfId="1" applyFont="1" applyBorder="1" applyAlignment="1" applyProtection="1">
      <alignment vertical="center"/>
      <protection hidden="1"/>
    </xf>
    <xf numFmtId="0" fontId="61" fillId="30" borderId="54" xfId="0" applyFont="1" applyFill="1" applyBorder="1" applyAlignment="1" applyProtection="1">
      <alignment vertical="center"/>
      <protection hidden="1"/>
    </xf>
    <xf numFmtId="164" fontId="44" fillId="0" borderId="0" xfId="1" applyFont="1" applyBorder="1" applyAlignment="1" applyProtection="1">
      <alignment vertical="center"/>
      <protection hidden="1"/>
    </xf>
    <xf numFmtId="164" fontId="3" fillId="0" borderId="4" xfId="1" applyFont="1" applyBorder="1" applyAlignment="1" applyProtection="1">
      <alignment vertical="center"/>
      <protection hidden="1"/>
    </xf>
    <xf numFmtId="0" fontId="35" fillId="0" borderId="4" xfId="0" applyFont="1" applyBorder="1" applyAlignment="1" applyProtection="1">
      <alignment vertical="center"/>
      <protection hidden="1"/>
    </xf>
    <xf numFmtId="0" fontId="44" fillId="0" borderId="4" xfId="0" applyFont="1" applyBorder="1" applyAlignment="1" applyProtection="1">
      <alignment horizontal="center" vertical="center"/>
      <protection hidden="1"/>
    </xf>
    <xf numFmtId="164" fontId="50" fillId="0" borderId="4" xfId="1" applyFont="1" applyBorder="1" applyAlignment="1" applyProtection="1">
      <alignment vertical="center"/>
      <protection hidden="1"/>
    </xf>
    <xf numFmtId="164" fontId="81" fillId="0" borderId="4" xfId="1" applyFont="1" applyBorder="1" applyAlignment="1" applyProtection="1">
      <alignment vertical="center"/>
      <protection hidden="1"/>
    </xf>
    <xf numFmtId="0" fontId="81" fillId="0" borderId="4" xfId="0" applyFont="1" applyBorder="1" applyAlignment="1" applyProtection="1">
      <alignment vertical="center"/>
      <protection hidden="1"/>
    </xf>
    <xf numFmtId="164" fontId="35" fillId="0" borderId="4" xfId="1" applyFont="1" applyBorder="1" applyProtection="1">
      <protection hidden="1"/>
    </xf>
    <xf numFmtId="0" fontId="96" fillId="0" borderId="0" xfId="0" applyFont="1" applyAlignment="1" applyProtection="1">
      <alignment vertical="center"/>
      <protection hidden="1"/>
    </xf>
    <xf numFmtId="164" fontId="44" fillId="0" borderId="55" xfId="1" applyFont="1" applyBorder="1" applyAlignment="1" applyProtection="1">
      <alignment vertical="center"/>
      <protection hidden="1"/>
    </xf>
    <xf numFmtId="164" fontId="35" fillId="0" borderId="0" xfId="1" applyFont="1" applyBorder="1" applyProtection="1">
      <protection hidden="1"/>
    </xf>
    <xf numFmtId="0" fontId="40" fillId="0" borderId="0" xfId="0" applyFont="1" applyAlignment="1" applyProtection="1">
      <alignment vertical="center"/>
      <protection hidden="1"/>
    </xf>
    <xf numFmtId="164" fontId="2" fillId="51" borderId="0" xfId="1" applyFont="1" applyFill="1" applyBorder="1" applyAlignment="1" applyProtection="1">
      <alignment vertical="center"/>
      <protection hidden="1"/>
    </xf>
    <xf numFmtId="164" fontId="0" fillId="50" borderId="37" xfId="1" applyFont="1" applyFill="1" applyBorder="1" applyAlignment="1" applyProtection="1">
      <alignment vertical="center"/>
      <protection hidden="1"/>
    </xf>
    <xf numFmtId="164" fontId="0" fillId="50" borderId="0" xfId="1" applyFont="1" applyFill="1" applyBorder="1" applyAlignment="1" applyProtection="1">
      <alignment vertical="center"/>
      <protection hidden="1"/>
    </xf>
    <xf numFmtId="164" fontId="1" fillId="52" borderId="4" xfId="1" applyFont="1" applyFill="1" applyBorder="1" applyAlignment="1" applyProtection="1">
      <alignment vertical="center"/>
      <protection hidden="1"/>
    </xf>
    <xf numFmtId="164" fontId="9" fillId="50" borderId="4" xfId="1" applyFont="1" applyFill="1" applyBorder="1" applyAlignment="1" applyProtection="1">
      <alignment vertical="center"/>
      <protection hidden="1"/>
    </xf>
    <xf numFmtId="164" fontId="8" fillId="50" borderId="0" xfId="0" applyNumberFormat="1" applyFont="1" applyFill="1" applyAlignment="1" applyProtection="1">
      <alignment vertical="center"/>
      <protection hidden="1"/>
    </xf>
    <xf numFmtId="0" fontId="52" fillId="50" borderId="0" xfId="0" applyFont="1" applyFill="1" applyAlignment="1" applyProtection="1">
      <alignment vertical="center"/>
      <protection hidden="1"/>
    </xf>
    <xf numFmtId="164" fontId="1" fillId="52" borderId="6" xfId="1" applyFont="1" applyFill="1" applyBorder="1" applyAlignment="1" applyProtection="1">
      <alignment vertical="center"/>
      <protection hidden="1"/>
    </xf>
    <xf numFmtId="164" fontId="125" fillId="50" borderId="6" xfId="1" applyFont="1" applyFill="1" applyBorder="1" applyAlignment="1" applyProtection="1">
      <alignment vertical="center"/>
      <protection hidden="1"/>
    </xf>
    <xf numFmtId="164" fontId="9" fillId="50" borderId="6" xfId="1" applyFont="1" applyFill="1" applyBorder="1" applyAlignment="1" applyProtection="1">
      <alignment vertical="center"/>
      <protection hidden="1"/>
    </xf>
    <xf numFmtId="0" fontId="123" fillId="50" borderId="0" xfId="0" applyFont="1" applyFill="1" applyAlignment="1" applyProtection="1">
      <alignment vertical="center"/>
      <protection hidden="1"/>
    </xf>
    <xf numFmtId="164" fontId="1" fillId="52" borderId="35" xfId="1" applyFont="1" applyFill="1" applyBorder="1" applyAlignment="1" applyProtection="1">
      <alignment vertical="center"/>
      <protection hidden="1"/>
    </xf>
    <xf numFmtId="164" fontId="9" fillId="50" borderId="35" xfId="1" applyFont="1" applyFill="1" applyBorder="1" applyAlignment="1" applyProtection="1">
      <alignment vertical="center"/>
      <protection hidden="1"/>
    </xf>
    <xf numFmtId="164" fontId="9" fillId="50" borderId="36" xfId="1" applyFont="1" applyFill="1" applyBorder="1" applyAlignment="1" applyProtection="1">
      <alignment vertical="center"/>
      <protection hidden="1"/>
    </xf>
    <xf numFmtId="0" fontId="43" fillId="50" borderId="0" xfId="0" applyFont="1" applyFill="1" applyAlignment="1" applyProtection="1">
      <alignment vertical="center"/>
      <protection hidden="1"/>
    </xf>
    <xf numFmtId="164" fontId="1" fillId="52" borderId="2" xfId="1" applyFont="1" applyFill="1" applyBorder="1" applyAlignment="1" applyProtection="1">
      <alignment vertical="center"/>
      <protection hidden="1"/>
    </xf>
    <xf numFmtId="164" fontId="9" fillId="50" borderId="2" xfId="1" applyFont="1" applyFill="1" applyBorder="1" applyAlignment="1" applyProtection="1">
      <alignment vertical="center"/>
      <protection hidden="1"/>
    </xf>
    <xf numFmtId="0" fontId="131" fillId="50" borderId="0" xfId="0" applyFont="1" applyFill="1" applyAlignment="1" applyProtection="1">
      <alignment vertical="center"/>
      <protection hidden="1"/>
    </xf>
    <xf numFmtId="164" fontId="1" fillId="50" borderId="0" xfId="1" applyFont="1" applyFill="1" applyBorder="1" applyAlignment="1" applyProtection="1">
      <alignment vertical="center"/>
      <protection hidden="1"/>
    </xf>
    <xf numFmtId="164" fontId="9" fillId="50" borderId="37" xfId="1" applyFont="1" applyFill="1" applyBorder="1" applyAlignment="1" applyProtection="1">
      <alignment vertical="center"/>
      <protection hidden="1"/>
    </xf>
    <xf numFmtId="164" fontId="9" fillId="50" borderId="0" xfId="1" applyFont="1" applyFill="1" applyBorder="1" applyAlignment="1" applyProtection="1">
      <alignment vertical="center"/>
      <protection hidden="1"/>
    </xf>
    <xf numFmtId="0" fontId="2" fillId="3" borderId="10" xfId="0" applyFont="1" applyFill="1" applyBorder="1" applyAlignment="1" applyProtection="1">
      <alignment vertical="center"/>
      <protection hidden="1"/>
    </xf>
    <xf numFmtId="0" fontId="2" fillId="3" borderId="0" xfId="0" applyFont="1" applyFill="1" applyAlignment="1" applyProtection="1">
      <alignment horizontal="center" vertical="center"/>
      <protection hidden="1"/>
    </xf>
    <xf numFmtId="164" fontId="2" fillId="3" borderId="0" xfId="1" applyFont="1" applyFill="1" applyBorder="1" applyAlignment="1" applyProtection="1">
      <alignment vertical="center"/>
      <protection hidden="1"/>
    </xf>
    <xf numFmtId="164" fontId="0" fillId="12" borderId="37" xfId="1" applyFont="1" applyFill="1" applyBorder="1" applyAlignment="1" applyProtection="1">
      <alignment vertical="center"/>
      <protection hidden="1"/>
    </xf>
    <xf numFmtId="164" fontId="0" fillId="12" borderId="0" xfId="1" applyFont="1" applyFill="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11" xfId="0" applyFont="1" applyBorder="1" applyAlignment="1" applyProtection="1">
      <alignment vertical="center"/>
      <protection hidden="1"/>
    </xf>
    <xf numFmtId="164" fontId="0" fillId="0" borderId="37" xfId="1" applyFont="1" applyBorder="1" applyAlignment="1" applyProtection="1">
      <alignment vertical="center"/>
      <protection hidden="1"/>
    </xf>
    <xf numFmtId="164" fontId="0" fillId="0" borderId="0" xfId="1" applyFont="1" applyBorder="1" applyAlignment="1" applyProtection="1">
      <alignment vertical="center"/>
      <protection hidden="1"/>
    </xf>
    <xf numFmtId="0" fontId="7" fillId="39" borderId="54" xfId="0" applyFont="1" applyFill="1" applyBorder="1" applyAlignment="1" applyProtection="1">
      <alignment vertical="center"/>
      <protection hidden="1"/>
    </xf>
    <xf numFmtId="0" fontId="7" fillId="39" borderId="61" xfId="0" applyFont="1" applyFill="1" applyBorder="1" applyAlignment="1" applyProtection="1">
      <alignment vertical="center"/>
      <protection hidden="1"/>
    </xf>
    <xf numFmtId="164" fontId="100" fillId="13" borderId="4" xfId="1" applyFont="1" applyFill="1" applyBorder="1" applyAlignment="1" applyProtection="1">
      <alignment vertical="center"/>
      <protection hidden="1"/>
    </xf>
    <xf numFmtId="164" fontId="0" fillId="0" borderId="11" xfId="1" applyFont="1" applyBorder="1" applyAlignment="1" applyProtection="1">
      <alignment vertical="center"/>
      <protection hidden="1"/>
    </xf>
    <xf numFmtId="164" fontId="3" fillId="13" borderId="3" xfId="1" applyFont="1" applyFill="1" applyBorder="1" applyAlignment="1" applyProtection="1">
      <alignment vertical="center"/>
      <protection hidden="1"/>
    </xf>
    <xf numFmtId="164" fontId="10" fillId="0" borderId="11" xfId="1" applyFont="1" applyBorder="1" applyAlignment="1" applyProtection="1">
      <alignment vertical="center"/>
      <protection hidden="1"/>
    </xf>
    <xf numFmtId="164" fontId="10" fillId="0" borderId="0" xfId="1" applyFont="1" applyBorder="1" applyAlignment="1" applyProtection="1">
      <alignment vertical="center"/>
      <protection hidden="1"/>
    </xf>
    <xf numFmtId="0" fontId="5" fillId="0" borderId="4" xfId="0" applyFont="1" applyBorder="1" applyAlignment="1" applyProtection="1">
      <alignment horizontal="center" vertical="center"/>
      <protection hidden="1"/>
    </xf>
    <xf numFmtId="164" fontId="50" fillId="0" borderId="0" xfId="1" applyFont="1" applyBorder="1" applyAlignment="1" applyProtection="1">
      <alignment vertical="center"/>
      <protection hidden="1"/>
    </xf>
    <xf numFmtId="164" fontId="12" fillId="39" borderId="54" xfId="1" applyFont="1" applyFill="1" applyBorder="1" applyAlignment="1" applyProtection="1">
      <alignment vertical="center"/>
      <protection hidden="1"/>
    </xf>
    <xf numFmtId="164" fontId="12" fillId="39" borderId="61" xfId="1" applyFont="1" applyFill="1" applyBorder="1" applyAlignment="1" applyProtection="1">
      <alignment vertical="center"/>
      <protection hidden="1"/>
    </xf>
    <xf numFmtId="164" fontId="10" fillId="0" borderId="37" xfId="1" applyFont="1" applyBorder="1" applyAlignment="1" applyProtection="1">
      <alignment vertical="center"/>
      <protection hidden="1"/>
    </xf>
    <xf numFmtId="0" fontId="44" fillId="0" borderId="4" xfId="0" applyFont="1" applyBorder="1" applyAlignment="1" applyProtection="1">
      <alignment vertical="center"/>
      <protection hidden="1"/>
    </xf>
    <xf numFmtId="0" fontId="1" fillId="0" borderId="4" xfId="0" applyFont="1" applyBorder="1" applyAlignment="1" applyProtection="1">
      <alignment horizontal="center" vertical="center"/>
      <protection hidden="1"/>
    </xf>
    <xf numFmtId="164" fontId="1" fillId="0" borderId="4" xfId="1" applyFont="1" applyBorder="1" applyAlignment="1" applyProtection="1">
      <alignment vertical="center"/>
      <protection hidden="1"/>
    </xf>
    <xf numFmtId="164" fontId="11" fillId="0" borderId="11" xfId="1" applyFont="1" applyBorder="1" applyAlignment="1" applyProtection="1">
      <alignment vertical="center"/>
      <protection hidden="1"/>
    </xf>
    <xf numFmtId="164" fontId="11" fillId="0" borderId="0" xfId="1" applyFont="1" applyBorder="1" applyAlignment="1" applyProtection="1">
      <alignment vertical="center"/>
      <protection hidden="1"/>
    </xf>
    <xf numFmtId="164" fontId="2" fillId="42" borderId="0" xfId="1" applyFont="1" applyFill="1" applyBorder="1" applyAlignment="1" applyProtection="1">
      <alignment vertical="center"/>
      <protection hidden="1"/>
    </xf>
    <xf numFmtId="164" fontId="2" fillId="42" borderId="0" xfId="1" applyFont="1" applyFill="1" applyBorder="1" applyAlignment="1" applyProtection="1">
      <alignment horizontal="center" vertical="center"/>
      <protection hidden="1"/>
    </xf>
    <xf numFmtId="164" fontId="0" fillId="41" borderId="37" xfId="1" applyFont="1" applyFill="1" applyBorder="1" applyAlignment="1" applyProtection="1">
      <alignment vertical="center"/>
      <protection hidden="1"/>
    </xf>
    <xf numFmtId="164" fontId="0" fillId="41" borderId="0" xfId="1" applyFont="1" applyFill="1" applyBorder="1" applyAlignment="1" applyProtection="1">
      <alignment vertical="center"/>
      <protection hidden="1"/>
    </xf>
    <xf numFmtId="0" fontId="1" fillId="20" borderId="0" xfId="0" applyFont="1" applyFill="1" applyAlignment="1" applyProtection="1">
      <alignment vertical="center"/>
      <protection hidden="1"/>
    </xf>
    <xf numFmtId="0" fontId="1" fillId="20" borderId="11" xfId="0" applyFont="1" applyFill="1" applyBorder="1" applyAlignment="1" applyProtection="1">
      <alignment vertical="center"/>
      <protection hidden="1"/>
    </xf>
    <xf numFmtId="164" fontId="1" fillId="0" borderId="37" xfId="1" applyFont="1" applyBorder="1" applyAlignment="1" applyProtection="1">
      <alignment vertical="center"/>
      <protection hidden="1"/>
    </xf>
    <xf numFmtId="164" fontId="1" fillId="0" borderId="0" xfId="1" applyFont="1" applyBorder="1" applyAlignment="1" applyProtection="1">
      <alignment vertical="center"/>
      <protection hidden="1"/>
    </xf>
    <xf numFmtId="164" fontId="48" fillId="13" borderId="4" xfId="1" applyFont="1" applyFill="1" applyBorder="1" applyAlignment="1" applyProtection="1">
      <alignment vertical="center"/>
      <protection hidden="1"/>
    </xf>
    <xf numFmtId="164" fontId="1" fillId="0" borderId="11" xfId="1" applyFont="1" applyBorder="1" applyAlignment="1" applyProtection="1">
      <alignment vertical="center"/>
      <protection hidden="1"/>
    </xf>
    <xf numFmtId="0" fontId="33" fillId="0" borderId="0" xfId="0" applyFont="1" applyAlignment="1" applyProtection="1">
      <alignment horizontal="center" vertical="center"/>
      <protection hidden="1"/>
    </xf>
    <xf numFmtId="164" fontId="3" fillId="0" borderId="0" xfId="1" applyFont="1" applyBorder="1" applyAlignment="1" applyProtection="1">
      <alignment vertical="center"/>
      <protection hidden="1"/>
    </xf>
    <xf numFmtId="0" fontId="2" fillId="0" borderId="10" xfId="0" applyFont="1" applyBorder="1" applyAlignment="1" applyProtection="1">
      <alignment vertical="center"/>
      <protection hidden="1"/>
    </xf>
    <xf numFmtId="164" fontId="50" fillId="0" borderId="11" xfId="1" applyFont="1" applyBorder="1" applyAlignment="1" applyProtection="1">
      <alignment vertical="center"/>
      <protection hidden="1"/>
    </xf>
    <xf numFmtId="164" fontId="134" fillId="0" borderId="0" xfId="1" applyFont="1" applyBorder="1" applyAlignment="1" applyProtection="1">
      <alignment vertical="center"/>
      <protection hidden="1"/>
    </xf>
    <xf numFmtId="2" fontId="124" fillId="0" borderId="0" xfId="0" applyNumberFormat="1" applyFont="1" applyAlignment="1" applyProtection="1">
      <alignment vertical="center"/>
      <protection hidden="1"/>
    </xf>
    <xf numFmtId="2" fontId="46" fillId="0" borderId="0" xfId="0" applyNumberFormat="1" applyFont="1" applyAlignment="1" applyProtection="1">
      <alignment vertical="center"/>
      <protection hidden="1"/>
    </xf>
    <xf numFmtId="164" fontId="109" fillId="13" borderId="0" xfId="1" applyFont="1" applyFill="1" applyProtection="1">
      <protection hidden="1"/>
    </xf>
    <xf numFmtId="164" fontId="45" fillId="50" borderId="11" xfId="1" applyFont="1" applyFill="1" applyBorder="1" applyAlignment="1" applyProtection="1">
      <alignment vertical="center"/>
      <protection hidden="1"/>
    </xf>
    <xf numFmtId="164" fontId="81" fillId="50" borderId="0" xfId="1" applyFont="1" applyFill="1" applyBorder="1" applyAlignment="1" applyProtection="1">
      <alignment vertical="center"/>
      <protection hidden="1"/>
    </xf>
    <xf numFmtId="164" fontId="135" fillId="50" borderId="0" xfId="1" applyFont="1" applyFill="1" applyBorder="1" applyAlignment="1" applyProtection="1">
      <alignment vertical="center"/>
      <protection hidden="1"/>
    </xf>
    <xf numFmtId="164" fontId="109" fillId="50" borderId="0" xfId="1" applyFont="1" applyFill="1" applyProtection="1">
      <protection hidden="1"/>
    </xf>
    <xf numFmtId="164" fontId="109" fillId="13" borderId="0" xfId="0" applyNumberFormat="1" applyFont="1" applyFill="1" applyAlignment="1" applyProtection="1">
      <alignment vertical="center"/>
      <protection hidden="1"/>
    </xf>
    <xf numFmtId="0" fontId="52" fillId="0" borderId="0" xfId="0" applyFont="1" applyAlignment="1" applyProtection="1">
      <alignment vertical="center"/>
      <protection hidden="1"/>
    </xf>
    <xf numFmtId="164" fontId="1" fillId="15" borderId="6" xfId="1" applyFont="1" applyFill="1" applyBorder="1" applyAlignment="1" applyProtection="1">
      <alignment vertical="center"/>
      <protection hidden="1"/>
    </xf>
    <xf numFmtId="164" fontId="1" fillId="15" borderId="49" xfId="1" applyFont="1" applyFill="1" applyBorder="1" applyAlignment="1" applyProtection="1">
      <alignment vertical="center"/>
      <protection hidden="1"/>
    </xf>
    <xf numFmtId="164" fontId="33" fillId="0" borderId="52" xfId="1" applyBorder="1" applyAlignment="1" applyProtection="1">
      <alignment vertical="center"/>
      <protection hidden="1"/>
    </xf>
    <xf numFmtId="2" fontId="73" fillId="0" borderId="4" xfId="0" applyNumberFormat="1" applyFont="1" applyBorder="1" applyAlignment="1" applyProtection="1">
      <alignment horizontal="center" vertical="center"/>
      <protection hidden="1"/>
    </xf>
    <xf numFmtId="164" fontId="10" fillId="0" borderId="4" xfId="1" applyFont="1" applyBorder="1" applyAlignment="1" applyProtection="1">
      <alignment vertical="center"/>
      <protection hidden="1"/>
    </xf>
    <xf numFmtId="164" fontId="135" fillId="0" borderId="0" xfId="1" applyFont="1" applyBorder="1" applyAlignment="1" applyProtection="1">
      <alignment vertical="center"/>
      <protection hidden="1"/>
    </xf>
    <xf numFmtId="0" fontId="50" fillId="20" borderId="4" xfId="0" applyFont="1" applyFill="1" applyBorder="1" applyAlignment="1" applyProtection="1">
      <alignment vertical="center"/>
      <protection hidden="1"/>
    </xf>
    <xf numFmtId="164" fontId="50" fillId="13" borderId="4" xfId="1" applyFont="1" applyFill="1" applyBorder="1" applyAlignment="1" applyProtection="1">
      <alignment vertical="center"/>
      <protection hidden="1"/>
    </xf>
    <xf numFmtId="164" fontId="132" fillId="0" borderId="0" xfId="1" applyFont="1" applyBorder="1" applyAlignment="1" applyProtection="1">
      <alignment vertical="center"/>
      <protection hidden="1"/>
    </xf>
    <xf numFmtId="164" fontId="50" fillId="40" borderId="4" xfId="1" applyFont="1" applyFill="1" applyBorder="1" applyAlignment="1" applyProtection="1">
      <alignment vertical="center"/>
      <protection hidden="1"/>
    </xf>
    <xf numFmtId="164" fontId="7" fillId="40" borderId="4" xfId="1" applyFont="1" applyFill="1" applyBorder="1" applyAlignment="1" applyProtection="1">
      <alignment vertical="center"/>
      <protection hidden="1"/>
    </xf>
    <xf numFmtId="164" fontId="7" fillId="40" borderId="0" xfId="1" applyFont="1" applyFill="1" applyBorder="1" applyAlignment="1" applyProtection="1">
      <alignment vertical="center"/>
      <protection hidden="1"/>
    </xf>
    <xf numFmtId="2" fontId="12" fillId="40" borderId="0" xfId="0" applyNumberFormat="1" applyFont="1" applyFill="1" applyAlignment="1" applyProtection="1">
      <alignment vertical="center"/>
      <protection hidden="1"/>
    </xf>
    <xf numFmtId="0" fontId="12" fillId="40" borderId="0" xfId="0" applyFont="1" applyFill="1" applyAlignment="1" applyProtection="1">
      <alignment vertical="center"/>
      <protection hidden="1"/>
    </xf>
    <xf numFmtId="164" fontId="50" fillId="41" borderId="4" xfId="1" applyFont="1" applyFill="1" applyBorder="1" applyAlignment="1" applyProtection="1">
      <alignment vertical="center"/>
      <protection hidden="1"/>
    </xf>
    <xf numFmtId="164" fontId="10" fillId="41" borderId="4" xfId="1" applyFont="1" applyFill="1" applyBorder="1" applyAlignment="1" applyProtection="1">
      <alignment vertical="center"/>
      <protection hidden="1"/>
    </xf>
    <xf numFmtId="164" fontId="10" fillId="41" borderId="0" xfId="1" applyFont="1" applyFill="1" applyBorder="1" applyAlignment="1" applyProtection="1">
      <alignment vertical="center"/>
      <protection hidden="1"/>
    </xf>
    <xf numFmtId="164" fontId="50" fillId="0" borderId="86" xfId="1" applyFont="1" applyBorder="1" applyAlignment="1" applyProtection="1">
      <alignment vertical="center"/>
      <protection hidden="1"/>
    </xf>
    <xf numFmtId="164" fontId="2" fillId="31" borderId="0" xfId="1" applyFont="1" applyFill="1" applyBorder="1" applyAlignment="1" applyProtection="1">
      <alignment vertical="center"/>
      <protection hidden="1"/>
    </xf>
    <xf numFmtId="164" fontId="2" fillId="31" borderId="0" xfId="1" applyFont="1" applyFill="1" applyBorder="1" applyAlignment="1" applyProtection="1">
      <alignment horizontal="center" vertical="center"/>
      <protection hidden="1"/>
    </xf>
    <xf numFmtId="164" fontId="0" fillId="32" borderId="37" xfId="1" applyFont="1" applyFill="1" applyBorder="1" applyAlignment="1" applyProtection="1">
      <alignment vertical="center"/>
      <protection hidden="1"/>
    </xf>
    <xf numFmtId="164" fontId="0" fillId="32" borderId="0" xfId="1" applyFont="1" applyFill="1" applyBorder="1" applyAlignment="1" applyProtection="1">
      <alignment vertical="center"/>
      <protection hidden="1"/>
    </xf>
    <xf numFmtId="164" fontId="69" fillId="0" borderId="35" xfId="1" applyFont="1" applyBorder="1" applyAlignment="1" applyProtection="1">
      <alignment vertical="center"/>
      <protection hidden="1"/>
    </xf>
    <xf numFmtId="164" fontId="69" fillId="0" borderId="12" xfId="1" applyFont="1" applyBorder="1" applyAlignment="1" applyProtection="1">
      <alignment vertical="center"/>
      <protection hidden="1"/>
    </xf>
    <xf numFmtId="164" fontId="69" fillId="0" borderId="0" xfId="1" applyFont="1" applyBorder="1" applyAlignment="1" applyProtection="1">
      <alignment vertical="center"/>
      <protection hidden="1"/>
    </xf>
    <xf numFmtId="0" fontId="51" fillId="11" borderId="13" xfId="0" applyFont="1" applyFill="1" applyBorder="1" applyAlignment="1" applyProtection="1">
      <alignment vertical="center"/>
      <protection hidden="1"/>
    </xf>
    <xf numFmtId="0" fontId="51" fillId="11" borderId="14" xfId="0" applyFont="1" applyFill="1" applyBorder="1" applyAlignment="1" applyProtection="1">
      <alignment horizontal="center" vertical="center"/>
      <protection hidden="1"/>
    </xf>
    <xf numFmtId="0" fontId="51" fillId="11" borderId="14" xfId="0" applyFont="1" applyFill="1" applyBorder="1" applyAlignment="1" applyProtection="1">
      <alignment vertical="center"/>
      <protection hidden="1"/>
    </xf>
    <xf numFmtId="0" fontId="78" fillId="11" borderId="12" xfId="0" applyFont="1" applyFill="1" applyBorder="1" applyAlignment="1" applyProtection="1">
      <alignment horizontal="center" vertical="center"/>
      <protection hidden="1"/>
    </xf>
    <xf numFmtId="0" fontId="78" fillId="11" borderId="15" xfId="0" applyFont="1" applyFill="1" applyBorder="1" applyAlignment="1" applyProtection="1">
      <alignment horizontal="center" vertical="center" wrapText="1"/>
      <protection hidden="1"/>
    </xf>
    <xf numFmtId="0" fontId="92" fillId="0" borderId="10" xfId="0" applyFont="1" applyBorder="1" applyAlignment="1" applyProtection="1">
      <alignment vertical="center"/>
      <protection hidden="1"/>
    </xf>
    <xf numFmtId="0" fontId="92" fillId="0" borderId="0" xfId="0" applyFont="1" applyAlignment="1" applyProtection="1">
      <alignment horizontal="center" vertical="center"/>
      <protection hidden="1"/>
    </xf>
    <xf numFmtId="0" fontId="92" fillId="0" borderId="0" xfId="0" applyFont="1" applyAlignment="1" applyProtection="1">
      <alignment vertical="center"/>
      <protection hidden="1"/>
    </xf>
    <xf numFmtId="0" fontId="2" fillId="30" borderId="0" xfId="0" applyFont="1" applyFill="1" applyAlignment="1" applyProtection="1">
      <alignment horizontal="center" vertical="center"/>
      <protection hidden="1"/>
    </xf>
    <xf numFmtId="164" fontId="3" fillId="30" borderId="0" xfId="1" applyFont="1" applyFill="1" applyBorder="1" applyAlignment="1" applyProtection="1">
      <alignment vertical="center"/>
      <protection hidden="1"/>
    </xf>
    <xf numFmtId="164" fontId="7" fillId="30" borderId="0" xfId="1" applyFont="1" applyFill="1" applyBorder="1" applyAlignment="1" applyProtection="1">
      <alignment vertical="center"/>
      <protection hidden="1"/>
    </xf>
    <xf numFmtId="164" fontId="52" fillId="0" borderId="0" xfId="0" applyNumberFormat="1" applyFont="1" applyAlignment="1" applyProtection="1">
      <alignment vertical="center"/>
      <protection hidden="1"/>
    </xf>
    <xf numFmtId="164" fontId="106" fillId="0" borderId="0" xfId="0" applyNumberFormat="1" applyFont="1" applyAlignment="1" applyProtection="1">
      <alignment vertical="center"/>
      <protection hidden="1"/>
    </xf>
    <xf numFmtId="164" fontId="12" fillId="50" borderId="4" xfId="1" applyFont="1" applyFill="1" applyBorder="1" applyAlignment="1" applyProtection="1">
      <alignment vertical="center"/>
      <protection hidden="1"/>
    </xf>
    <xf numFmtId="164" fontId="106" fillId="50" borderId="0" xfId="0" applyNumberFormat="1" applyFont="1" applyFill="1" applyAlignment="1" applyProtection="1">
      <alignment vertical="center"/>
      <protection hidden="1"/>
    </xf>
    <xf numFmtId="164" fontId="99" fillId="50" borderId="4" xfId="1" applyFont="1" applyFill="1" applyBorder="1" applyAlignment="1" applyProtection="1">
      <alignment vertical="center"/>
      <protection hidden="1"/>
    </xf>
    <xf numFmtId="164" fontId="23" fillId="50" borderId="4" xfId="1" applyFont="1" applyFill="1" applyBorder="1" applyAlignment="1" applyProtection="1">
      <alignment vertical="center"/>
      <protection hidden="1"/>
    </xf>
    <xf numFmtId="0" fontId="95" fillId="30" borderId="4" xfId="0" applyFont="1" applyFill="1" applyBorder="1" applyAlignment="1" applyProtection="1">
      <alignment horizontal="center" vertical="center"/>
      <protection hidden="1"/>
    </xf>
    <xf numFmtId="164" fontId="12" fillId="30" borderId="0" xfId="1" applyFont="1" applyFill="1" applyBorder="1" applyAlignment="1" applyProtection="1">
      <alignment vertical="center"/>
      <protection hidden="1"/>
    </xf>
    <xf numFmtId="164" fontId="44" fillId="30" borderId="0" xfId="1" applyFont="1" applyFill="1" applyBorder="1" applyAlignment="1" applyProtection="1">
      <alignment vertical="center"/>
      <protection hidden="1"/>
    </xf>
    <xf numFmtId="164" fontId="58" fillId="30" borderId="0" xfId="1" applyFont="1" applyFill="1" applyBorder="1" applyAlignment="1" applyProtection="1">
      <alignment vertical="center"/>
      <protection hidden="1"/>
    </xf>
    <xf numFmtId="0" fontId="2" fillId="50" borderId="4" xfId="0" applyFont="1" applyFill="1" applyBorder="1" applyAlignment="1" applyProtection="1">
      <alignment vertical="center"/>
      <protection hidden="1"/>
    </xf>
    <xf numFmtId="164" fontId="52" fillId="50" borderId="0" xfId="0" applyNumberFormat="1" applyFont="1" applyFill="1" applyAlignment="1" applyProtection="1">
      <alignment vertical="center"/>
      <protection hidden="1"/>
    </xf>
    <xf numFmtId="164" fontId="7" fillId="0" borderId="4" xfId="1" applyFont="1" applyBorder="1" applyAlignment="1" applyProtection="1">
      <alignment vertical="center"/>
      <protection hidden="1"/>
    </xf>
    <xf numFmtId="164" fontId="11" fillId="0" borderId="4" xfId="1" applyFont="1" applyBorder="1" applyAlignment="1" applyProtection="1">
      <alignment vertical="center"/>
      <protection hidden="1"/>
    </xf>
    <xf numFmtId="164" fontId="23" fillId="0" borderId="4" xfId="1" applyFont="1" applyBorder="1" applyAlignment="1" applyProtection="1">
      <alignment vertical="center"/>
      <protection hidden="1"/>
    </xf>
    <xf numFmtId="0" fontId="112" fillId="0" borderId="0" xfId="0" applyFont="1" applyAlignment="1" applyProtection="1">
      <alignment horizontal="center" vertical="center"/>
      <protection hidden="1"/>
    </xf>
    <xf numFmtId="0" fontId="92" fillId="0" borderId="37" xfId="0" applyFont="1" applyBorder="1" applyAlignment="1" applyProtection="1">
      <alignment horizontal="center" vertical="center"/>
      <protection hidden="1"/>
    </xf>
    <xf numFmtId="0" fontId="94" fillId="0" borderId="0" xfId="0" applyFont="1" applyAlignment="1" applyProtection="1">
      <alignment horizontal="center" vertical="center"/>
      <protection hidden="1"/>
    </xf>
    <xf numFmtId="164" fontId="2" fillId="0" borderId="0" xfId="1" applyFont="1" applyBorder="1" applyAlignment="1" applyProtection="1">
      <alignment vertical="center"/>
      <protection hidden="1"/>
    </xf>
    <xf numFmtId="0" fontId="2" fillId="33" borderId="10" xfId="0" applyFont="1" applyFill="1" applyBorder="1" applyAlignment="1" applyProtection="1">
      <alignment vertical="center"/>
      <protection hidden="1"/>
    </xf>
    <xf numFmtId="0" fontId="2" fillId="33" borderId="0" xfId="0" applyFont="1" applyFill="1" applyAlignment="1" applyProtection="1">
      <alignment horizontal="center" vertical="center"/>
      <protection hidden="1"/>
    </xf>
    <xf numFmtId="164" fontId="2" fillId="33" borderId="0" xfId="1" applyFont="1" applyFill="1" applyBorder="1" applyAlignment="1" applyProtection="1">
      <alignment vertical="center"/>
      <protection hidden="1"/>
    </xf>
    <xf numFmtId="164" fontId="0" fillId="33" borderId="37" xfId="1" applyFont="1" applyFill="1" applyBorder="1" applyAlignment="1" applyProtection="1">
      <alignment vertical="center"/>
      <protection hidden="1"/>
    </xf>
    <xf numFmtId="164" fontId="0" fillId="33" borderId="0" xfId="1" applyFont="1" applyFill="1" applyBorder="1" applyAlignment="1" applyProtection="1">
      <alignment vertical="center"/>
      <protection hidden="1"/>
    </xf>
    <xf numFmtId="0" fontId="50" fillId="30" borderId="10" xfId="0" applyFont="1" applyFill="1" applyBorder="1" applyAlignment="1" applyProtection="1">
      <alignment vertical="center"/>
      <protection hidden="1"/>
    </xf>
    <xf numFmtId="0" fontId="12" fillId="30" borderId="0" xfId="0" applyFont="1" applyFill="1" applyAlignment="1" applyProtection="1">
      <alignment horizontal="center" vertical="center"/>
      <protection hidden="1"/>
    </xf>
    <xf numFmtId="164" fontId="12" fillId="30" borderId="37" xfId="1" applyFont="1" applyFill="1" applyBorder="1" applyAlignment="1" applyProtection="1">
      <alignment vertical="center"/>
      <protection hidden="1"/>
    </xf>
    <xf numFmtId="164" fontId="12" fillId="0" borderId="0" xfId="1" applyFont="1" applyBorder="1" applyAlignment="1" applyProtection="1">
      <alignment vertical="center"/>
      <protection hidden="1"/>
    </xf>
    <xf numFmtId="0" fontId="12" fillId="0" borderId="0" xfId="0" applyFont="1" applyAlignment="1" applyProtection="1">
      <alignment vertical="center"/>
      <protection hidden="1"/>
    </xf>
    <xf numFmtId="0" fontId="105" fillId="0" borderId="0" xfId="0" applyFont="1" applyAlignment="1" applyProtection="1">
      <alignment vertical="center"/>
      <protection hidden="1"/>
    </xf>
    <xf numFmtId="0" fontId="50" fillId="0" borderId="0" xfId="0" applyFont="1" applyAlignment="1" applyProtection="1">
      <alignment horizontal="right" vertical="center"/>
      <protection hidden="1"/>
    </xf>
    <xf numFmtId="0" fontId="12" fillId="0" borderId="0" xfId="0" applyFont="1" applyAlignment="1" applyProtection="1">
      <alignment horizontal="center" vertical="center"/>
      <protection hidden="1"/>
    </xf>
    <xf numFmtId="164" fontId="97" fillId="0" borderId="0" xfId="1" applyFont="1" applyBorder="1" applyAlignment="1" applyProtection="1">
      <alignment vertical="center"/>
      <protection hidden="1"/>
    </xf>
    <xf numFmtId="164" fontId="12" fillId="0" borderId="11" xfId="1" applyFont="1" applyBorder="1" applyAlignment="1" applyProtection="1">
      <alignment vertical="center"/>
      <protection hidden="1"/>
    </xf>
    <xf numFmtId="0" fontId="50" fillId="14" borderId="0" xfId="0" applyFont="1" applyFill="1" applyAlignment="1" applyProtection="1">
      <alignment horizontal="left" vertical="center"/>
      <protection hidden="1"/>
    </xf>
    <xf numFmtId="0" fontId="13" fillId="24" borderId="4" xfId="0" applyFont="1" applyFill="1" applyBorder="1" applyAlignment="1" applyProtection="1">
      <alignment vertical="center"/>
      <protection hidden="1"/>
    </xf>
    <xf numFmtId="0" fontId="13" fillId="24" borderId="4" xfId="0" applyFont="1" applyFill="1" applyBorder="1" applyAlignment="1" applyProtection="1">
      <alignment horizontal="center" vertical="center"/>
      <protection hidden="1"/>
    </xf>
    <xf numFmtId="0" fontId="1" fillId="24" borderId="4" xfId="0" applyFont="1" applyFill="1" applyBorder="1" applyAlignment="1" applyProtection="1">
      <alignment horizontal="center" vertical="center"/>
      <protection hidden="1"/>
    </xf>
    <xf numFmtId="164" fontId="2" fillId="43" borderId="4" xfId="1" applyFont="1" applyFill="1" applyBorder="1" applyAlignment="1" applyProtection="1">
      <alignment vertical="center"/>
      <protection hidden="1"/>
    </xf>
    <xf numFmtId="0" fontId="13" fillId="0" borderId="4" xfId="0" applyFont="1" applyBorder="1" applyAlignment="1" applyProtection="1">
      <alignment horizontal="center" vertical="center"/>
      <protection hidden="1"/>
    </xf>
    <xf numFmtId="2" fontId="33" fillId="0" borderId="4" xfId="0" applyNumberFormat="1" applyFont="1" applyBorder="1" applyAlignment="1" applyProtection="1">
      <alignment horizontal="center" vertical="center"/>
      <protection hidden="1"/>
    </xf>
    <xf numFmtId="164" fontId="2" fillId="0" borderId="4" xfId="1" applyFont="1" applyBorder="1" applyAlignment="1" applyProtection="1">
      <alignment vertical="center"/>
      <protection hidden="1"/>
    </xf>
    <xf numFmtId="164" fontId="58" fillId="0" borderId="11" xfId="1" applyFont="1" applyBorder="1" applyAlignment="1" applyProtection="1">
      <alignment vertical="center"/>
      <protection hidden="1"/>
    </xf>
    <xf numFmtId="0" fontId="33" fillId="0" borderId="4" xfId="0" applyFont="1" applyBorder="1" applyAlignment="1" applyProtection="1">
      <alignment vertical="center"/>
      <protection hidden="1"/>
    </xf>
    <xf numFmtId="164" fontId="3" fillId="35" borderId="4" xfId="1" applyFont="1" applyFill="1" applyBorder="1" applyAlignment="1" applyProtection="1">
      <alignment vertical="center"/>
      <protection hidden="1"/>
    </xf>
    <xf numFmtId="0" fontId="13" fillId="0" borderId="4" xfId="0" applyFont="1" applyBorder="1" applyAlignment="1" applyProtection="1">
      <alignment vertical="center"/>
      <protection hidden="1"/>
    </xf>
    <xf numFmtId="164" fontId="0" fillId="0" borderId="0" xfId="0" applyNumberFormat="1" applyAlignment="1" applyProtection="1">
      <alignment vertical="center"/>
      <protection hidden="1"/>
    </xf>
    <xf numFmtId="0" fontId="33" fillId="0" borderId="0" xfId="0" applyFont="1" applyAlignment="1" applyProtection="1">
      <alignment vertical="center"/>
      <protection hidden="1"/>
    </xf>
    <xf numFmtId="0" fontId="14" fillId="0" borderId="4" xfId="0" applyFont="1" applyBorder="1" applyAlignment="1" applyProtection="1">
      <alignment vertical="center"/>
      <protection hidden="1"/>
    </xf>
    <xf numFmtId="0" fontId="14" fillId="0" borderId="4" xfId="0" applyFont="1" applyBorder="1" applyAlignment="1" applyProtection="1">
      <alignment horizontal="center" vertical="center"/>
      <protection hidden="1"/>
    </xf>
    <xf numFmtId="164" fontId="14" fillId="0" borderId="4" xfId="1" applyFont="1" applyBorder="1" applyAlignment="1" applyProtection="1">
      <alignment vertical="center"/>
      <protection hidden="1"/>
    </xf>
    <xf numFmtId="0" fontId="44" fillId="0" borderId="10" xfId="0" applyFont="1" applyBorder="1" applyAlignment="1" applyProtection="1">
      <alignment vertical="center"/>
      <protection hidden="1"/>
    </xf>
    <xf numFmtId="0" fontId="44" fillId="0" borderId="0" xfId="0" applyFont="1" applyAlignment="1" applyProtection="1">
      <alignment horizontal="center" vertical="center"/>
      <protection hidden="1"/>
    </xf>
    <xf numFmtId="164" fontId="44" fillId="0" borderId="37" xfId="1" applyFont="1" applyBorder="1" applyAlignment="1" applyProtection="1">
      <alignment vertical="center"/>
      <protection hidden="1"/>
    </xf>
    <xf numFmtId="0" fontId="44" fillId="30" borderId="0" xfId="0" applyFont="1" applyFill="1" applyAlignment="1" applyProtection="1">
      <alignment horizontal="center" vertical="center"/>
      <protection hidden="1"/>
    </xf>
    <xf numFmtId="164" fontId="44" fillId="30" borderId="37" xfId="1" applyFont="1" applyFill="1" applyBorder="1" applyAlignment="1" applyProtection="1">
      <alignment vertical="center"/>
      <protection hidden="1"/>
    </xf>
    <xf numFmtId="0" fontId="50" fillId="0" borderId="10" xfId="0" applyFont="1" applyBorder="1" applyAlignment="1" applyProtection="1">
      <alignment horizontal="right" vertical="center"/>
      <protection hidden="1"/>
    </xf>
    <xf numFmtId="0" fontId="13" fillId="28" borderId="4" xfId="0" applyFont="1" applyFill="1" applyBorder="1" applyAlignment="1" applyProtection="1">
      <alignment vertical="center"/>
      <protection hidden="1"/>
    </xf>
    <xf numFmtId="0" fontId="44" fillId="28" borderId="4" xfId="0" applyFont="1" applyFill="1" applyBorder="1" applyAlignment="1" applyProtection="1">
      <alignment horizontal="center" vertical="center"/>
      <protection hidden="1"/>
    </xf>
    <xf numFmtId="164" fontId="2" fillId="29" borderId="4" xfId="1" applyFont="1" applyFill="1" applyBorder="1" applyAlignment="1" applyProtection="1">
      <alignment vertical="center"/>
      <protection hidden="1"/>
    </xf>
    <xf numFmtId="164" fontId="44" fillId="0" borderId="11" xfId="1" applyFont="1" applyBorder="1" applyAlignment="1" applyProtection="1">
      <alignment vertical="center"/>
      <protection hidden="1"/>
    </xf>
    <xf numFmtId="164" fontId="12" fillId="0" borderId="37" xfId="1" applyFont="1" applyBorder="1" applyAlignment="1" applyProtection="1">
      <alignment vertical="center"/>
      <protection hidden="1"/>
    </xf>
    <xf numFmtId="0" fontId="12" fillId="33" borderId="0" xfId="0" applyFont="1" applyFill="1" applyAlignment="1" applyProtection="1">
      <alignment vertical="center"/>
      <protection hidden="1"/>
    </xf>
    <xf numFmtId="0" fontId="12" fillId="33" borderId="0" xfId="0" applyFont="1" applyFill="1" applyAlignment="1" applyProtection="1">
      <alignment horizontal="center" vertical="center"/>
      <protection hidden="1"/>
    </xf>
    <xf numFmtId="164" fontId="12" fillId="33" borderId="0" xfId="1" applyFont="1" applyFill="1" applyBorder="1" applyAlignment="1" applyProtection="1">
      <alignment vertical="center"/>
      <protection hidden="1"/>
    </xf>
    <xf numFmtId="164" fontId="12" fillId="33" borderId="37" xfId="1" applyFont="1" applyFill="1" applyBorder="1" applyAlignment="1" applyProtection="1">
      <alignment vertical="center"/>
      <protection hidden="1"/>
    </xf>
    <xf numFmtId="0" fontId="35" fillId="36" borderId="4" xfId="0" applyFont="1" applyFill="1" applyBorder="1" applyAlignment="1" applyProtection="1">
      <alignment vertical="center"/>
      <protection hidden="1"/>
    </xf>
    <xf numFmtId="0" fontId="93" fillId="36" borderId="4" xfId="0" applyFont="1" applyFill="1" applyBorder="1" applyAlignment="1" applyProtection="1">
      <alignment horizontal="center" vertical="center"/>
      <protection hidden="1"/>
    </xf>
    <xf numFmtId="0" fontId="2" fillId="36" borderId="4" xfId="0" applyFont="1" applyFill="1" applyBorder="1" applyAlignment="1" applyProtection="1">
      <alignment horizontal="center" vertical="center"/>
      <protection hidden="1"/>
    </xf>
    <xf numFmtId="164" fontId="7" fillId="36" borderId="4" xfId="1" applyFont="1" applyFill="1" applyBorder="1" applyAlignment="1" applyProtection="1">
      <alignment vertical="center"/>
      <protection hidden="1"/>
    </xf>
    <xf numFmtId="164" fontId="58" fillId="36" borderId="4" xfId="1" applyFont="1" applyFill="1" applyBorder="1" applyAlignment="1" applyProtection="1">
      <alignment vertical="center"/>
      <protection hidden="1"/>
    </xf>
    <xf numFmtId="0" fontId="81" fillId="36" borderId="4" xfId="0" applyFont="1" applyFill="1" applyBorder="1" applyAlignment="1" applyProtection="1">
      <alignment vertical="center"/>
      <protection hidden="1"/>
    </xf>
    <xf numFmtId="164" fontId="11" fillId="36" borderId="4" xfId="1" applyFont="1" applyFill="1" applyBorder="1" applyAlignment="1" applyProtection="1">
      <alignment vertical="center"/>
      <protection hidden="1"/>
    </xf>
    <xf numFmtId="164" fontId="12" fillId="36" borderId="4" xfId="1" applyFont="1" applyFill="1" applyBorder="1" applyAlignment="1" applyProtection="1">
      <alignment vertical="center"/>
      <protection hidden="1"/>
    </xf>
    <xf numFmtId="164" fontId="23" fillId="36" borderId="4" xfId="1" applyFont="1" applyFill="1" applyBorder="1" applyAlignment="1" applyProtection="1">
      <alignment vertical="center"/>
      <protection hidden="1"/>
    </xf>
    <xf numFmtId="164" fontId="50" fillId="36" borderId="4" xfId="1" applyFont="1" applyFill="1" applyBorder="1" applyAlignment="1" applyProtection="1">
      <alignment vertical="center"/>
      <protection hidden="1"/>
    </xf>
    <xf numFmtId="164" fontId="81" fillId="36" borderId="4" xfId="1" applyFont="1" applyFill="1" applyBorder="1" applyAlignment="1" applyProtection="1">
      <alignment vertical="center"/>
      <protection hidden="1"/>
    </xf>
    <xf numFmtId="0" fontId="35" fillId="14" borderId="10" xfId="0" applyFont="1" applyFill="1" applyBorder="1" applyAlignment="1" applyProtection="1">
      <alignment vertical="center"/>
      <protection hidden="1"/>
    </xf>
    <xf numFmtId="0" fontId="35" fillId="14" borderId="0" xfId="0" applyFont="1" applyFill="1" applyAlignment="1" applyProtection="1">
      <alignment horizontal="center" vertical="center"/>
      <protection hidden="1"/>
    </xf>
    <xf numFmtId="164" fontId="35" fillId="14" borderId="0" xfId="1" applyFont="1" applyFill="1" applyBorder="1" applyAlignment="1" applyProtection="1">
      <alignment vertical="center"/>
      <protection hidden="1"/>
    </xf>
    <xf numFmtId="164" fontId="35" fillId="14" borderId="37" xfId="1" applyFont="1" applyFill="1" applyBorder="1" applyAlignment="1" applyProtection="1">
      <alignment vertical="center"/>
      <protection hidden="1"/>
    </xf>
    <xf numFmtId="164" fontId="102" fillId="0" borderId="0" xfId="1" applyFont="1" applyBorder="1" applyAlignment="1" applyProtection="1">
      <alignment horizontal="center" vertical="center" wrapText="1"/>
      <protection hidden="1"/>
    </xf>
    <xf numFmtId="164" fontId="52" fillId="0" borderId="0" xfId="1" applyFont="1" applyAlignment="1" applyProtection="1">
      <alignment vertical="center"/>
      <protection hidden="1"/>
    </xf>
    <xf numFmtId="164" fontId="106" fillId="0" borderId="0" xfId="1" applyFont="1" applyAlignment="1" applyProtection="1">
      <alignment vertical="center"/>
      <protection hidden="1"/>
    </xf>
    <xf numFmtId="0" fontId="35" fillId="39" borderId="10" xfId="0" applyFont="1" applyFill="1" applyBorder="1" applyAlignment="1" applyProtection="1">
      <alignment vertical="center"/>
      <protection hidden="1"/>
    </xf>
    <xf numFmtId="0" fontId="35" fillId="39" borderId="0" xfId="0" applyFont="1" applyFill="1" applyAlignment="1" applyProtection="1">
      <alignment vertical="center"/>
      <protection hidden="1"/>
    </xf>
    <xf numFmtId="0" fontId="35" fillId="39" borderId="11" xfId="0" applyFont="1" applyFill="1" applyBorder="1" applyAlignment="1" applyProtection="1">
      <alignment vertical="center"/>
      <protection hidden="1"/>
    </xf>
    <xf numFmtId="164" fontId="107" fillId="0" borderId="0" xfId="1" applyFont="1" applyAlignment="1" applyProtection="1">
      <alignment vertical="center"/>
      <protection hidden="1"/>
    </xf>
    <xf numFmtId="0" fontId="35" fillId="0" borderId="10" xfId="0" applyFont="1" applyBorder="1" applyAlignment="1" applyProtection="1">
      <alignment horizontal="right" vertical="center"/>
      <protection hidden="1"/>
    </xf>
    <xf numFmtId="0" fontId="35" fillId="0" borderId="10" xfId="0" applyFont="1" applyBorder="1" applyAlignment="1" applyProtection="1">
      <alignment vertical="center"/>
      <protection hidden="1"/>
    </xf>
    <xf numFmtId="164" fontId="55" fillId="0" borderId="4" xfId="1" applyFont="1" applyBorder="1" applyAlignment="1" applyProtection="1">
      <alignment vertical="center"/>
      <protection hidden="1"/>
    </xf>
    <xf numFmtId="164" fontId="129" fillId="0" borderId="0" xfId="1" applyFont="1" applyBorder="1" applyAlignment="1" applyProtection="1">
      <alignment vertical="center"/>
      <protection hidden="1"/>
    </xf>
    <xf numFmtId="164" fontId="55" fillId="0" borderId="0" xfId="1" applyFont="1" applyBorder="1" applyAlignment="1" applyProtection="1">
      <alignment vertical="center"/>
      <protection hidden="1"/>
    </xf>
    <xf numFmtId="0" fontId="2" fillId="46" borderId="4" xfId="0" applyFont="1" applyFill="1" applyBorder="1" applyAlignment="1" applyProtection="1">
      <alignment vertical="center"/>
      <protection hidden="1"/>
    </xf>
    <xf numFmtId="0" fontId="1" fillId="0" borderId="0" xfId="0" applyFont="1" applyAlignment="1" applyProtection="1">
      <alignment horizontal="center" vertical="center"/>
      <protection hidden="1"/>
    </xf>
    <xf numFmtId="0" fontId="1" fillId="24" borderId="13" xfId="0" applyFont="1" applyFill="1" applyBorder="1" applyAlignment="1" applyProtection="1">
      <alignment vertical="center"/>
      <protection hidden="1"/>
    </xf>
    <xf numFmtId="0" fontId="1" fillId="24" borderId="14" xfId="0" applyFont="1" applyFill="1" applyBorder="1" applyAlignment="1" applyProtection="1">
      <alignment horizontal="center" vertical="center"/>
      <protection hidden="1"/>
    </xf>
    <xf numFmtId="0" fontId="2" fillId="24" borderId="14" xfId="0" applyFont="1" applyFill="1" applyBorder="1" applyAlignment="1" applyProtection="1">
      <alignment horizontal="center" vertical="center"/>
      <protection hidden="1"/>
    </xf>
    <xf numFmtId="164" fontId="1" fillId="24" borderId="14" xfId="1" applyFont="1" applyFill="1" applyBorder="1" applyAlignment="1" applyProtection="1">
      <alignment vertical="center"/>
      <protection hidden="1"/>
    </xf>
    <xf numFmtId="164" fontId="58" fillId="25" borderId="12" xfId="1" applyFont="1" applyFill="1" applyBorder="1" applyAlignment="1" applyProtection="1">
      <alignment vertical="center"/>
      <protection hidden="1"/>
    </xf>
    <xf numFmtId="164" fontId="53" fillId="0" borderId="37" xfId="1" applyFont="1" applyBorder="1" applyAlignment="1" applyProtection="1">
      <alignment vertical="center"/>
      <protection hidden="1"/>
    </xf>
    <xf numFmtId="164" fontId="53" fillId="0" borderId="0" xfId="1" applyFont="1" applyBorder="1" applyAlignment="1" applyProtection="1">
      <alignment vertical="center"/>
      <protection hidden="1"/>
    </xf>
    <xf numFmtId="164" fontId="54" fillId="0" borderId="0" xfId="1" applyFont="1" applyBorder="1" applyAlignment="1" applyProtection="1">
      <alignment vertical="center"/>
      <protection hidden="1"/>
    </xf>
    <xf numFmtId="164" fontId="16" fillId="0" borderId="37" xfId="1" applyFont="1" applyBorder="1" applyAlignment="1" applyProtection="1">
      <alignment vertical="center"/>
      <protection hidden="1"/>
    </xf>
    <xf numFmtId="164" fontId="101" fillId="0" borderId="0" xfId="1" applyFont="1" applyBorder="1" applyAlignment="1" applyProtection="1">
      <alignment vertical="center"/>
      <protection hidden="1"/>
    </xf>
    <xf numFmtId="164" fontId="56" fillId="0" borderId="37" xfId="1" applyFont="1" applyBorder="1" applyAlignment="1" applyProtection="1">
      <alignment vertical="center"/>
      <protection hidden="1"/>
    </xf>
    <xf numFmtId="0" fontId="2" fillId="46" borderId="10" xfId="0" applyFont="1" applyFill="1" applyBorder="1" applyAlignment="1" applyProtection="1">
      <alignment vertical="center"/>
      <protection hidden="1"/>
    </xf>
    <xf numFmtId="164" fontId="15" fillId="0" borderId="37" xfId="1" applyFont="1" applyBorder="1" applyAlignment="1" applyProtection="1">
      <alignment vertical="center"/>
      <protection hidden="1"/>
    </xf>
    <xf numFmtId="164" fontId="15" fillId="0" borderId="0" xfId="1" applyFont="1" applyBorder="1" applyAlignment="1" applyProtection="1">
      <alignment vertical="center"/>
      <protection hidden="1"/>
    </xf>
    <xf numFmtId="0" fontId="1" fillId="12" borderId="10" xfId="0" applyFont="1" applyFill="1" applyBorder="1" applyAlignment="1" applyProtection="1">
      <alignment vertical="center"/>
      <protection hidden="1"/>
    </xf>
    <xf numFmtId="0" fontId="1" fillId="12" borderId="0" xfId="0" applyFont="1" applyFill="1" applyAlignment="1" applyProtection="1">
      <alignment horizontal="center" vertical="center"/>
      <protection hidden="1"/>
    </xf>
    <xf numFmtId="0" fontId="2" fillId="12" borderId="0" xfId="0" applyFont="1" applyFill="1" applyAlignment="1" applyProtection="1">
      <alignment horizontal="center" vertical="center"/>
      <protection hidden="1"/>
    </xf>
    <xf numFmtId="164" fontId="1" fillId="12" borderId="0" xfId="1" applyFont="1" applyFill="1" applyBorder="1" applyAlignment="1" applyProtection="1">
      <alignment vertical="center"/>
      <protection hidden="1"/>
    </xf>
    <xf numFmtId="164" fontId="58" fillId="26" borderId="37" xfId="1" applyFont="1" applyFill="1" applyBorder="1" applyAlignment="1" applyProtection="1">
      <alignment vertical="center"/>
      <protection hidden="1"/>
    </xf>
    <xf numFmtId="164" fontId="58" fillId="0" borderId="37" xfId="1" applyFont="1" applyBorder="1" applyAlignment="1" applyProtection="1">
      <alignment vertical="center"/>
      <protection hidden="1"/>
    </xf>
    <xf numFmtId="0" fontId="1" fillId="14" borderId="10" xfId="0" applyFont="1" applyFill="1" applyBorder="1" applyAlignment="1" applyProtection="1">
      <alignment vertical="center"/>
      <protection hidden="1"/>
    </xf>
    <xf numFmtId="0" fontId="1" fillId="14" borderId="0" xfId="0" applyFont="1" applyFill="1" applyAlignment="1" applyProtection="1">
      <alignment horizontal="center" vertical="center"/>
      <protection hidden="1"/>
    </xf>
    <xf numFmtId="0" fontId="2" fillId="14" borderId="0" xfId="0" applyFont="1" applyFill="1" applyAlignment="1" applyProtection="1">
      <alignment horizontal="center" vertical="center"/>
      <protection hidden="1"/>
    </xf>
    <xf numFmtId="164" fontId="1" fillId="14" borderId="0" xfId="1" applyFont="1" applyFill="1" applyBorder="1" applyAlignment="1" applyProtection="1">
      <alignment vertical="center"/>
      <protection hidden="1"/>
    </xf>
    <xf numFmtId="164" fontId="81" fillId="16" borderId="37" xfId="1" applyFont="1" applyFill="1" applyBorder="1" applyAlignment="1" applyProtection="1">
      <alignment vertical="center"/>
      <protection hidden="1"/>
    </xf>
    <xf numFmtId="164" fontId="110" fillId="0" borderId="0" xfId="0" applyNumberFormat="1" applyFont="1" applyAlignment="1" applyProtection="1">
      <alignment vertical="center"/>
      <protection hidden="1"/>
    </xf>
    <xf numFmtId="0" fontId="2" fillId="12" borderId="10" xfId="0" applyFont="1" applyFill="1" applyBorder="1" applyAlignment="1" applyProtection="1">
      <alignment vertical="center"/>
      <protection hidden="1"/>
    </xf>
    <xf numFmtId="164" fontId="2" fillId="12" borderId="0" xfId="1" applyFont="1" applyFill="1" applyBorder="1" applyAlignment="1" applyProtection="1">
      <alignment vertical="center"/>
      <protection hidden="1"/>
    </xf>
    <xf numFmtId="0" fontId="1" fillId="21" borderId="10" xfId="0" applyFont="1" applyFill="1" applyBorder="1" applyAlignment="1" applyProtection="1">
      <alignment vertical="center"/>
      <protection hidden="1"/>
    </xf>
    <xf numFmtId="0" fontId="1" fillId="21" borderId="0" xfId="0" applyFont="1" applyFill="1" applyAlignment="1" applyProtection="1">
      <alignment horizontal="center" vertical="center"/>
      <protection hidden="1"/>
    </xf>
    <xf numFmtId="0" fontId="2" fillId="21" borderId="0" xfId="0" applyFont="1" applyFill="1" applyAlignment="1" applyProtection="1">
      <alignment horizontal="center" vertical="center"/>
      <protection hidden="1"/>
    </xf>
    <xf numFmtId="164" fontId="1" fillId="21" borderId="0" xfId="1" applyFont="1" applyFill="1" applyBorder="1" applyAlignment="1" applyProtection="1">
      <alignment vertical="center"/>
      <protection hidden="1"/>
    </xf>
    <xf numFmtId="0" fontId="1" fillId="14" borderId="13" xfId="0" applyFont="1" applyFill="1" applyBorder="1" applyAlignment="1" applyProtection="1">
      <alignment vertical="center"/>
      <protection hidden="1"/>
    </xf>
    <xf numFmtId="0" fontId="1" fillId="14" borderId="14" xfId="0" applyFont="1" applyFill="1" applyBorder="1" applyAlignment="1" applyProtection="1">
      <alignment horizontal="center" vertical="center"/>
      <protection hidden="1"/>
    </xf>
    <xf numFmtId="0" fontId="2" fillId="14" borderId="14" xfId="0" applyFont="1" applyFill="1" applyBorder="1" applyAlignment="1" applyProtection="1">
      <alignment horizontal="center" vertical="center"/>
      <protection hidden="1"/>
    </xf>
    <xf numFmtId="164" fontId="1" fillId="14" borderId="14" xfId="1" applyFont="1" applyFill="1" applyBorder="1" applyAlignment="1" applyProtection="1">
      <alignment vertical="center"/>
      <protection hidden="1"/>
    </xf>
    <xf numFmtId="164" fontId="1" fillId="16" borderId="12" xfId="1" applyFont="1" applyFill="1" applyBorder="1" applyAlignment="1" applyProtection="1">
      <alignment vertical="center"/>
      <protection hidden="1"/>
    </xf>
    <xf numFmtId="0" fontId="1" fillId="37" borderId="10" xfId="0" applyFont="1" applyFill="1" applyBorder="1" applyAlignment="1" applyProtection="1">
      <alignment vertical="center"/>
      <protection hidden="1"/>
    </xf>
    <xf numFmtId="0" fontId="1" fillId="37" borderId="54" xfId="0" applyFont="1" applyFill="1" applyBorder="1" applyAlignment="1" applyProtection="1">
      <alignment vertical="center"/>
      <protection hidden="1"/>
    </xf>
    <xf numFmtId="0" fontId="1" fillId="37" borderId="61" xfId="0" applyFont="1" applyFill="1" applyBorder="1" applyAlignment="1" applyProtection="1">
      <alignment vertical="center"/>
      <protection hidden="1"/>
    </xf>
    <xf numFmtId="0" fontId="65" fillId="0" borderId="4" xfId="0" applyFont="1" applyBorder="1" applyAlignment="1" applyProtection="1">
      <alignment horizontal="center" vertical="center"/>
      <protection hidden="1"/>
    </xf>
    <xf numFmtId="164" fontId="90" fillId="0" borderId="4" xfId="1" applyFont="1" applyBorder="1" applyAlignment="1" applyProtection="1">
      <alignment vertical="center"/>
      <protection hidden="1"/>
    </xf>
    <xf numFmtId="164" fontId="17" fillId="0" borderId="37" xfId="1" applyFont="1" applyBorder="1" applyAlignment="1" applyProtection="1">
      <alignment vertical="center"/>
      <protection hidden="1"/>
    </xf>
    <xf numFmtId="0" fontId="1" fillId="27" borderId="10" xfId="0" applyFont="1" applyFill="1" applyBorder="1" applyAlignment="1" applyProtection="1">
      <alignment vertical="center"/>
      <protection hidden="1"/>
    </xf>
    <xf numFmtId="0" fontId="1" fillId="27" borderId="0" xfId="0" applyFont="1" applyFill="1" applyAlignment="1" applyProtection="1">
      <alignment horizontal="center" vertical="center"/>
      <protection hidden="1"/>
    </xf>
    <xf numFmtId="0" fontId="2" fillId="27" borderId="0" xfId="0" applyFont="1" applyFill="1" applyAlignment="1" applyProtection="1">
      <alignment horizontal="center" vertical="center"/>
      <protection hidden="1"/>
    </xf>
    <xf numFmtId="164" fontId="1" fillId="27" borderId="0" xfId="1" applyFont="1" applyFill="1" applyBorder="1" applyAlignment="1" applyProtection="1">
      <alignment vertical="center"/>
      <protection hidden="1"/>
    </xf>
    <xf numFmtId="0" fontId="87" fillId="0" borderId="0" xfId="0" applyFont="1" applyAlignment="1" applyProtection="1">
      <alignment horizontal="center" vertical="center"/>
      <protection hidden="1"/>
    </xf>
    <xf numFmtId="164" fontId="83" fillId="0" borderId="37" xfId="1" applyFont="1" applyBorder="1" applyAlignment="1" applyProtection="1">
      <alignment vertical="center"/>
      <protection hidden="1"/>
    </xf>
    <xf numFmtId="164" fontId="86" fillId="0" borderId="0" xfId="0" applyNumberFormat="1" applyFont="1" applyAlignment="1" applyProtection="1">
      <alignment vertical="center"/>
      <protection hidden="1"/>
    </xf>
    <xf numFmtId="164" fontId="44" fillId="0" borderId="28" xfId="1" applyFont="1" applyBorder="1" applyAlignment="1" applyProtection="1">
      <alignment vertical="center"/>
      <protection hidden="1"/>
    </xf>
    <xf numFmtId="0" fontId="44" fillId="54" borderId="4" xfId="0" applyFont="1" applyFill="1" applyBorder="1" applyAlignment="1" applyProtection="1">
      <alignment vertical="center"/>
      <protection hidden="1"/>
    </xf>
    <xf numFmtId="164" fontId="44" fillId="54" borderId="4" xfId="1" applyFont="1" applyFill="1" applyBorder="1" applyAlignment="1" applyProtection="1">
      <alignment vertical="center"/>
      <protection hidden="1"/>
    </xf>
    <xf numFmtId="0" fontId="1" fillId="14" borderId="18" xfId="0" applyFont="1" applyFill="1" applyBorder="1" applyAlignment="1" applyProtection="1">
      <alignment vertical="center"/>
      <protection hidden="1"/>
    </xf>
    <xf numFmtId="0" fontId="1" fillId="14" borderId="19" xfId="0" applyFont="1" applyFill="1" applyBorder="1" applyAlignment="1" applyProtection="1">
      <alignment horizontal="center" vertical="center"/>
      <protection hidden="1"/>
    </xf>
    <xf numFmtId="0" fontId="2" fillId="14" borderId="19" xfId="0" applyFont="1" applyFill="1" applyBorder="1" applyAlignment="1" applyProtection="1">
      <alignment horizontal="center" vertical="center"/>
      <protection hidden="1"/>
    </xf>
    <xf numFmtId="164" fontId="1" fillId="14" borderId="19" xfId="1" applyFont="1" applyFill="1" applyBorder="1" applyAlignment="1" applyProtection="1">
      <alignment vertical="center"/>
      <protection hidden="1"/>
    </xf>
    <xf numFmtId="164" fontId="11" fillId="16" borderId="12" xfId="1" applyFont="1" applyFill="1" applyBorder="1" applyAlignment="1" applyProtection="1">
      <alignment vertical="center"/>
      <protection hidden="1"/>
    </xf>
    <xf numFmtId="0" fontId="2" fillId="38" borderId="10" xfId="0" applyFont="1" applyFill="1" applyBorder="1" applyAlignment="1" applyProtection="1">
      <alignment vertical="center"/>
      <protection hidden="1"/>
    </xf>
    <xf numFmtId="0" fontId="2" fillId="38" borderId="0" xfId="0" applyFont="1" applyFill="1" applyAlignment="1" applyProtection="1">
      <alignment horizontal="center" vertical="center"/>
      <protection hidden="1"/>
    </xf>
    <xf numFmtId="164" fontId="2" fillId="38" borderId="0" xfId="1" applyFont="1" applyFill="1" applyBorder="1" applyAlignment="1" applyProtection="1">
      <alignment vertical="center"/>
      <protection hidden="1"/>
    </xf>
    <xf numFmtId="0" fontId="1" fillId="22" borderId="13" xfId="0" applyFont="1" applyFill="1" applyBorder="1" applyAlignment="1" applyProtection="1">
      <alignment vertical="center"/>
      <protection hidden="1"/>
    </xf>
    <xf numFmtId="0" fontId="1" fillId="22" borderId="14" xfId="0" applyFont="1" applyFill="1" applyBorder="1" applyAlignment="1" applyProtection="1">
      <alignment horizontal="center" vertical="center"/>
      <protection hidden="1"/>
    </xf>
    <xf numFmtId="0" fontId="2" fillId="22" borderId="14" xfId="0" applyFont="1" applyFill="1" applyBorder="1" applyAlignment="1" applyProtection="1">
      <alignment horizontal="center" vertical="center"/>
      <protection hidden="1"/>
    </xf>
    <xf numFmtId="164" fontId="35" fillId="22" borderId="14" xfId="1" applyFont="1" applyFill="1" applyBorder="1" applyAlignment="1" applyProtection="1">
      <alignment vertical="center"/>
      <protection hidden="1"/>
    </xf>
    <xf numFmtId="164" fontId="1" fillId="22" borderId="12" xfId="1" applyFont="1" applyFill="1" applyBorder="1" applyAlignment="1" applyProtection="1">
      <alignment vertical="center"/>
      <protection hidden="1"/>
    </xf>
    <xf numFmtId="0" fontId="2" fillId="0" borderId="0" xfId="0" applyFont="1" applyAlignment="1" applyProtection="1">
      <alignment vertical="center"/>
      <protection hidden="1"/>
    </xf>
    <xf numFmtId="0" fontId="33" fillId="53" borderId="13" xfId="0" applyFont="1" applyFill="1" applyBorder="1" applyAlignment="1" applyProtection="1">
      <alignment vertical="center"/>
      <protection hidden="1"/>
    </xf>
    <xf numFmtId="0" fontId="33" fillId="53" borderId="14" xfId="0" applyFont="1" applyFill="1" applyBorder="1" applyAlignment="1" applyProtection="1">
      <alignment horizontal="center" vertical="center"/>
      <protection hidden="1"/>
    </xf>
    <xf numFmtId="0" fontId="2" fillId="53" borderId="14" xfId="0" applyFont="1" applyFill="1" applyBorder="1" applyAlignment="1" applyProtection="1">
      <alignment horizontal="center" vertical="center"/>
      <protection hidden="1"/>
    </xf>
    <xf numFmtId="164" fontId="2" fillId="53" borderId="14" xfId="1" applyFont="1" applyFill="1" applyBorder="1" applyAlignment="1" applyProtection="1">
      <alignment vertical="center"/>
      <protection hidden="1"/>
    </xf>
    <xf numFmtId="164" fontId="1" fillId="53" borderId="12" xfId="1" applyFont="1" applyFill="1" applyBorder="1" applyAlignment="1" applyProtection="1">
      <alignment vertical="center"/>
      <protection hidden="1"/>
    </xf>
    <xf numFmtId="164" fontId="1" fillId="53" borderId="0" xfId="1" applyFont="1" applyFill="1" applyBorder="1" applyAlignment="1" applyProtection="1">
      <alignment vertical="center"/>
      <protection hidden="1"/>
    </xf>
    <xf numFmtId="164" fontId="2" fillId="53" borderId="0" xfId="1" applyFont="1" applyFill="1" applyBorder="1" applyAlignment="1" applyProtection="1">
      <alignment vertical="center"/>
      <protection hidden="1"/>
    </xf>
    <xf numFmtId="0" fontId="2" fillId="53" borderId="0" xfId="0" applyFont="1" applyFill="1" applyAlignment="1" applyProtection="1">
      <alignment vertical="center"/>
      <protection hidden="1"/>
    </xf>
    <xf numFmtId="164" fontId="107" fillId="53" borderId="0" xfId="0" applyNumberFormat="1" applyFont="1" applyFill="1" applyAlignment="1" applyProtection="1">
      <alignment vertical="center"/>
      <protection hidden="1"/>
    </xf>
    <xf numFmtId="0" fontId="0" fillId="53" borderId="0" xfId="0" applyFill="1" applyAlignment="1" applyProtection="1">
      <alignment vertical="center"/>
      <protection hidden="1"/>
    </xf>
    <xf numFmtId="164" fontId="33" fillId="53" borderId="12" xfId="1" applyFill="1" applyBorder="1" applyAlignment="1" applyProtection="1">
      <alignment vertical="center"/>
      <protection hidden="1"/>
    </xf>
    <xf numFmtId="164" fontId="33" fillId="53" borderId="0" xfId="1" applyFill="1" applyBorder="1" applyAlignment="1" applyProtection="1">
      <alignment vertical="center"/>
      <protection hidden="1"/>
    </xf>
    <xf numFmtId="164" fontId="44" fillId="53" borderId="14" xfId="1" applyFont="1" applyFill="1" applyBorder="1" applyAlignment="1" applyProtection="1">
      <alignment vertical="center"/>
      <protection hidden="1"/>
    </xf>
    <xf numFmtId="9" fontId="108" fillId="53" borderId="0" xfId="2" applyFont="1" applyFill="1" applyAlignment="1" applyProtection="1">
      <alignment vertical="center"/>
      <protection hidden="1"/>
    </xf>
    <xf numFmtId="0" fontId="33" fillId="0" borderId="13" xfId="0" applyFont="1" applyBorder="1" applyAlignment="1" applyProtection="1">
      <alignment vertical="center"/>
      <protection hidden="1"/>
    </xf>
    <xf numFmtId="0" fontId="33" fillId="0" borderId="14"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9" fontId="2" fillId="0" borderId="14" xfId="2" applyFont="1" applyFill="1" applyBorder="1" applyAlignment="1" applyProtection="1">
      <alignment horizontal="center" vertical="center"/>
      <protection hidden="1"/>
    </xf>
    <xf numFmtId="9" fontId="44" fillId="0" borderId="12" xfId="2" applyFont="1" applyFill="1" applyBorder="1" applyAlignment="1" applyProtection="1">
      <alignment horizontal="center" vertical="center"/>
      <protection hidden="1"/>
    </xf>
    <xf numFmtId="9" fontId="50" fillId="0" borderId="0" xfId="2" applyFont="1" applyFill="1" applyBorder="1" applyAlignment="1" applyProtection="1">
      <alignment horizontal="center" vertical="center"/>
      <protection hidden="1"/>
    </xf>
    <xf numFmtId="9" fontId="108" fillId="0" borderId="0" xfId="2" applyFont="1" applyAlignment="1" applyProtection="1">
      <alignment vertical="center"/>
      <protection hidden="1"/>
    </xf>
    <xf numFmtId="0" fontId="71" fillId="14" borderId="13" xfId="0" applyFont="1" applyFill="1" applyBorder="1" applyAlignment="1" applyProtection="1">
      <alignment vertical="center"/>
      <protection hidden="1"/>
    </xf>
    <xf numFmtId="0" fontId="71" fillId="14" borderId="14" xfId="0" applyFont="1" applyFill="1" applyBorder="1" applyAlignment="1" applyProtection="1">
      <alignment horizontal="center" vertical="center"/>
      <protection hidden="1"/>
    </xf>
    <xf numFmtId="164" fontId="82" fillId="14" borderId="14" xfId="1" applyFont="1" applyFill="1" applyBorder="1" applyAlignment="1" applyProtection="1">
      <alignment vertical="center"/>
      <protection hidden="1"/>
    </xf>
    <xf numFmtId="164" fontId="70" fillId="14" borderId="12" xfId="1" applyFont="1" applyFill="1" applyBorder="1" applyAlignment="1" applyProtection="1">
      <alignment vertical="center"/>
      <protection hidden="1"/>
    </xf>
    <xf numFmtId="9" fontId="120" fillId="0" borderId="0" xfId="2" applyFont="1" applyFill="1" applyBorder="1" applyAlignment="1" applyProtection="1">
      <alignment horizontal="center" vertical="center" wrapText="1"/>
      <protection hidden="1"/>
    </xf>
    <xf numFmtId="164" fontId="107" fillId="0" borderId="0" xfId="0" applyNumberFormat="1" applyFont="1" applyAlignment="1" applyProtection="1">
      <alignment vertical="center"/>
      <protection hidden="1"/>
    </xf>
    <xf numFmtId="0" fontId="18" fillId="0" borderId="10" xfId="0" applyFont="1" applyBorder="1" applyAlignment="1" applyProtection="1">
      <alignment vertical="center"/>
      <protection hidden="1"/>
    </xf>
    <xf numFmtId="0" fontId="18" fillId="0" borderId="0" xfId="0" applyFont="1" applyAlignment="1" applyProtection="1">
      <alignment horizontal="center" vertical="center"/>
      <protection hidden="1"/>
    </xf>
    <xf numFmtId="164" fontId="19" fillId="0" borderId="0" xfId="1" applyFont="1" applyBorder="1" applyAlignment="1" applyProtection="1">
      <alignment vertical="center"/>
      <protection hidden="1"/>
    </xf>
    <xf numFmtId="164" fontId="57" fillId="0" borderId="37" xfId="1" applyFont="1" applyBorder="1" applyAlignment="1" applyProtection="1">
      <alignment vertical="center"/>
      <protection hidden="1"/>
    </xf>
    <xf numFmtId="164" fontId="57" fillId="0" borderId="0" xfId="1" applyFont="1" applyBorder="1" applyAlignment="1" applyProtection="1">
      <alignment vertical="center"/>
      <protection hidden="1"/>
    </xf>
    <xf numFmtId="0" fontId="5" fillId="0" borderId="4" xfId="0" applyFont="1" applyBorder="1" applyAlignment="1" applyProtection="1">
      <alignment vertical="center"/>
      <protection hidden="1"/>
    </xf>
    <xf numFmtId="164" fontId="93" fillId="0" borderId="4" xfId="1" applyFont="1" applyBorder="1" applyAlignment="1" applyProtection="1">
      <alignment vertical="center"/>
      <protection hidden="1"/>
    </xf>
    <xf numFmtId="0" fontId="64" fillId="0" borderId="0" xfId="0" applyFont="1" applyAlignment="1" applyProtection="1">
      <alignment vertical="center"/>
      <protection hidden="1"/>
    </xf>
    <xf numFmtId="0" fontId="6" fillId="4" borderId="16" xfId="0" applyFont="1" applyFill="1" applyBorder="1" applyAlignment="1" applyProtection="1">
      <alignment horizontal="right" vertical="center"/>
      <protection hidden="1"/>
    </xf>
    <xf numFmtId="0" fontId="6" fillId="4" borderId="17" xfId="0" applyFont="1" applyFill="1" applyBorder="1" applyAlignment="1" applyProtection="1">
      <alignment horizontal="center" vertical="center"/>
      <protection hidden="1"/>
    </xf>
    <xf numFmtId="0" fontId="1" fillId="4" borderId="17" xfId="0" applyFont="1" applyFill="1" applyBorder="1" applyAlignment="1" applyProtection="1">
      <alignment horizontal="center" vertical="center"/>
      <protection hidden="1"/>
    </xf>
    <xf numFmtId="164" fontId="1" fillId="4" borderId="17" xfId="1" applyFont="1" applyFill="1" applyBorder="1" applyAlignment="1" applyProtection="1">
      <alignment vertical="center"/>
      <protection hidden="1"/>
    </xf>
    <xf numFmtId="0" fontId="42" fillId="0" borderId="0" xfId="0" applyFont="1" applyAlignment="1" applyProtection="1">
      <alignment vertical="center"/>
      <protection hidden="1"/>
    </xf>
    <xf numFmtId="0" fontId="21" fillId="5" borderId="10" xfId="0" applyFont="1" applyFill="1" applyBorder="1" applyAlignment="1" applyProtection="1">
      <alignment horizontal="right" vertical="center"/>
      <protection hidden="1"/>
    </xf>
    <xf numFmtId="0" fontId="21" fillId="5" borderId="0" xfId="0"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64" fontId="0" fillId="5" borderId="0" xfId="1" applyFont="1" applyFill="1" applyBorder="1" applyAlignment="1" applyProtection="1">
      <alignment vertical="center"/>
      <protection hidden="1"/>
    </xf>
    <xf numFmtId="164" fontId="2" fillId="5" borderId="56" xfId="1" applyFont="1" applyFill="1" applyBorder="1" applyAlignment="1" applyProtection="1">
      <alignment vertical="center"/>
      <protection hidden="1"/>
    </xf>
    <xf numFmtId="164" fontId="0" fillId="13" borderId="37" xfId="1" applyFont="1" applyFill="1" applyBorder="1" applyAlignment="1" applyProtection="1">
      <alignment vertical="center"/>
      <protection hidden="1"/>
    </xf>
    <xf numFmtId="0" fontId="6" fillId="4" borderId="18" xfId="0" applyFont="1" applyFill="1" applyBorder="1" applyAlignment="1" applyProtection="1">
      <alignment horizontal="right" vertical="center"/>
      <protection hidden="1"/>
    </xf>
    <xf numFmtId="0" fontId="6" fillId="4" borderId="19" xfId="0" applyFont="1" applyFill="1" applyBorder="1" applyAlignment="1" applyProtection="1">
      <alignment horizontal="center" vertical="center"/>
      <protection hidden="1"/>
    </xf>
    <xf numFmtId="0" fontId="1" fillId="4" borderId="19" xfId="0" applyFont="1" applyFill="1" applyBorder="1" applyAlignment="1" applyProtection="1">
      <alignment horizontal="center" vertical="center"/>
      <protection hidden="1"/>
    </xf>
    <xf numFmtId="164" fontId="1" fillId="4" borderId="19" xfId="1" applyFont="1" applyFill="1" applyBorder="1" applyAlignment="1" applyProtection="1">
      <alignment vertical="center"/>
      <protection hidden="1"/>
    </xf>
    <xf numFmtId="14" fontId="2" fillId="0" borderId="0" xfId="0" applyNumberFormat="1" applyFont="1" applyAlignment="1" applyProtection="1">
      <alignment vertical="center"/>
      <protection hidden="1"/>
    </xf>
    <xf numFmtId="0" fontId="22" fillId="0" borderId="37" xfId="0" applyFont="1" applyBorder="1" applyAlignment="1" applyProtection="1">
      <alignment vertical="center"/>
      <protection hidden="1"/>
    </xf>
    <xf numFmtId="0" fontId="22" fillId="0" borderId="0" xfId="0" applyFont="1" applyAlignment="1" applyProtection="1">
      <alignment vertical="center"/>
      <protection hidden="1"/>
    </xf>
    <xf numFmtId="0" fontId="18" fillId="0" borderId="13" xfId="0" applyFont="1" applyBorder="1" applyAlignment="1" applyProtection="1">
      <alignment vertical="center"/>
      <protection hidden="1"/>
    </xf>
    <xf numFmtId="0" fontId="18" fillId="0" borderId="14" xfId="0" applyFont="1" applyBorder="1" applyAlignment="1" applyProtection="1">
      <alignment horizontal="center" vertical="center"/>
      <protection hidden="1"/>
    </xf>
    <xf numFmtId="0" fontId="19" fillId="0" borderId="14" xfId="0" applyFont="1" applyBorder="1" applyAlignment="1" applyProtection="1">
      <alignment horizontal="center" vertical="center"/>
      <protection hidden="1"/>
    </xf>
    <xf numFmtId="164" fontId="19" fillId="0" borderId="14" xfId="1" applyFont="1" applyBorder="1" applyAlignment="1" applyProtection="1">
      <alignment vertical="center"/>
      <protection hidden="1"/>
    </xf>
    <xf numFmtId="164" fontId="20" fillId="0" borderId="37" xfId="0" applyNumberFormat="1" applyFont="1" applyBorder="1" applyAlignment="1" applyProtection="1">
      <alignment vertical="center"/>
      <protection hidden="1"/>
    </xf>
    <xf numFmtId="164" fontId="20" fillId="0" borderId="0" xfId="0" applyNumberFormat="1" applyFont="1" applyAlignment="1" applyProtection="1">
      <alignment vertical="center"/>
      <protection hidden="1"/>
    </xf>
    <xf numFmtId="164" fontId="2" fillId="0" borderId="0" xfId="0" applyNumberFormat="1" applyFont="1" applyAlignment="1" applyProtection="1">
      <alignment vertical="center"/>
      <protection hidden="1"/>
    </xf>
    <xf numFmtId="0" fontId="0" fillId="0" borderId="37" xfId="0" applyBorder="1" applyAlignment="1" applyProtection="1">
      <alignment vertical="center"/>
      <protection hidden="1"/>
    </xf>
    <xf numFmtId="0" fontId="96" fillId="0" borderId="0" xfId="0" applyFont="1" applyAlignment="1" applyProtection="1">
      <alignment horizontal="right" vertical="center"/>
      <protection hidden="1"/>
    </xf>
    <xf numFmtId="0" fontId="67" fillId="17" borderId="13" xfId="0" applyFont="1" applyFill="1" applyBorder="1" applyAlignment="1" applyProtection="1">
      <alignment vertical="center"/>
      <protection hidden="1"/>
    </xf>
    <xf numFmtId="0" fontId="67" fillId="17" borderId="14" xfId="0" applyFont="1" applyFill="1" applyBorder="1" applyAlignment="1" applyProtection="1">
      <alignment horizontal="center" vertical="center"/>
      <protection hidden="1"/>
    </xf>
    <xf numFmtId="0" fontId="0" fillId="17" borderId="14" xfId="0" applyFill="1" applyBorder="1" applyAlignment="1" applyProtection="1">
      <alignment horizontal="center" vertical="center"/>
      <protection hidden="1"/>
    </xf>
    <xf numFmtId="164" fontId="65" fillId="13" borderId="14" xfId="1" applyFont="1" applyFill="1" applyBorder="1" applyAlignment="1" applyProtection="1">
      <alignment vertical="center"/>
      <protection hidden="1"/>
    </xf>
    <xf numFmtId="164" fontId="65" fillId="13" borderId="12" xfId="1" applyFont="1" applyFill="1" applyBorder="1" applyAlignment="1" applyProtection="1">
      <alignment vertical="center"/>
      <protection hidden="1"/>
    </xf>
    <xf numFmtId="164" fontId="65" fillId="0" borderId="0" xfId="1" applyFont="1" applyBorder="1" applyAlignment="1" applyProtection="1">
      <alignment vertical="center"/>
      <protection hidden="1"/>
    </xf>
    <xf numFmtId="164" fontId="60" fillId="18" borderId="0" xfId="0" applyNumberFormat="1" applyFont="1" applyFill="1" applyAlignment="1" applyProtection="1">
      <alignment vertical="center"/>
      <protection hidden="1"/>
    </xf>
    <xf numFmtId="0" fontId="63" fillId="18" borderId="0" xfId="0" applyFont="1" applyFill="1" applyAlignment="1" applyProtection="1">
      <alignment horizontal="center" vertical="center" wrapText="1"/>
      <protection hidden="1"/>
    </xf>
    <xf numFmtId="164" fontId="34" fillId="0" borderId="0" xfId="1" applyFont="1" applyBorder="1" applyAlignment="1" applyProtection="1">
      <alignment vertical="center"/>
      <protection hidden="1"/>
    </xf>
    <xf numFmtId="164" fontId="34" fillId="0" borderId="37" xfId="1" applyFont="1" applyBorder="1" applyAlignment="1" applyProtection="1">
      <alignment vertical="center"/>
      <protection hidden="1"/>
    </xf>
    <xf numFmtId="164" fontId="96" fillId="0" borderId="0" xfId="1" applyFont="1" applyProtection="1">
      <protection hidden="1"/>
    </xf>
    <xf numFmtId="0" fontId="47" fillId="0" borderId="7" xfId="0" applyFont="1" applyBorder="1" applyAlignment="1" applyProtection="1">
      <alignment vertical="center"/>
      <protection hidden="1"/>
    </xf>
    <xf numFmtId="0" fontId="47" fillId="0" borderId="8" xfId="0" applyFont="1" applyBorder="1" applyAlignment="1" applyProtection="1">
      <alignment horizontal="center" vertical="center"/>
      <protection hidden="1"/>
    </xf>
    <xf numFmtId="164" fontId="47" fillId="0" borderId="8" xfId="1" applyFont="1" applyBorder="1" applyAlignment="1" applyProtection="1">
      <alignment vertical="center"/>
      <protection hidden="1"/>
    </xf>
    <xf numFmtId="164" fontId="122" fillId="0" borderId="39" xfId="1" applyFont="1" applyBorder="1" applyAlignment="1" applyProtection="1">
      <alignment vertical="center"/>
      <protection hidden="1"/>
    </xf>
    <xf numFmtId="164" fontId="59" fillId="0" borderId="7" xfId="1" applyFont="1"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horizontal="center" vertical="center"/>
      <protection hidden="1"/>
    </xf>
    <xf numFmtId="0" fontId="0" fillId="0" borderId="19" xfId="0" applyBorder="1" applyAlignment="1" applyProtection="1">
      <alignment vertical="center"/>
      <protection hidden="1"/>
    </xf>
    <xf numFmtId="2" fontId="2" fillId="0" borderId="19" xfId="0" applyNumberFormat="1" applyFont="1" applyBorder="1" applyAlignment="1" applyProtection="1">
      <alignment vertical="center"/>
      <protection hidden="1"/>
    </xf>
    <xf numFmtId="0" fontId="0" fillId="0" borderId="38" xfId="0" applyBorder="1" applyAlignment="1" applyProtection="1">
      <alignment vertical="center"/>
      <protection hidden="1"/>
    </xf>
    <xf numFmtId="164" fontId="23" fillId="0" borderId="0" xfId="0" applyNumberFormat="1" applyFont="1" applyAlignment="1" applyProtection="1">
      <alignment vertical="center"/>
      <protection hidden="1"/>
    </xf>
    <xf numFmtId="0" fontId="40" fillId="0" borderId="0" xfId="0" applyFont="1" applyAlignment="1" applyProtection="1">
      <alignment horizontal="center" vertical="center" wrapText="1"/>
      <protection hidden="1"/>
    </xf>
    <xf numFmtId="0" fontId="67" fillId="13" borderId="0" xfId="0" applyFont="1" applyFill="1" applyAlignment="1" applyProtection="1">
      <alignment horizontal="left" vertical="center"/>
      <protection hidden="1"/>
    </xf>
    <xf numFmtId="0" fontId="0" fillId="0" borderId="0" xfId="0" applyAlignment="1" applyProtection="1">
      <alignment horizontal="right" vertical="center"/>
      <protection hidden="1"/>
    </xf>
    <xf numFmtId="164" fontId="40" fillId="0" borderId="0" xfId="1" applyFont="1" applyAlignment="1" applyProtection="1">
      <alignment horizontal="center"/>
      <protection hidden="1"/>
    </xf>
    <xf numFmtId="164" fontId="40" fillId="7" borderId="0" xfId="1" applyFont="1" applyFill="1" applyAlignment="1" applyProtection="1">
      <alignment horizontal="center"/>
      <protection hidden="1"/>
    </xf>
    <xf numFmtId="164" fontId="40" fillId="14" borderId="0" xfId="1" applyFont="1" applyFill="1" applyAlignment="1" applyProtection="1">
      <alignment horizontal="center"/>
      <protection hidden="1"/>
    </xf>
    <xf numFmtId="0" fontId="107" fillId="0" borderId="0" xfId="0" applyFont="1" applyAlignment="1" applyProtection="1">
      <alignment horizontal="center" vertical="center"/>
      <protection hidden="1"/>
    </xf>
    <xf numFmtId="0" fontId="107" fillId="14" borderId="0" xfId="0" applyFont="1" applyFill="1" applyAlignment="1" applyProtection="1">
      <alignment horizontal="center" vertical="center"/>
      <protection hidden="1"/>
    </xf>
    <xf numFmtId="0" fontId="0" fillId="19" borderId="7" xfId="0" applyFill="1" applyBorder="1" applyAlignment="1" applyProtection="1">
      <alignment vertical="center"/>
      <protection hidden="1"/>
    </xf>
    <xf numFmtId="0" fontId="0" fillId="19" borderId="8" xfId="0" applyFill="1" applyBorder="1" applyAlignment="1" applyProtection="1">
      <alignment vertical="center"/>
      <protection hidden="1"/>
    </xf>
    <xf numFmtId="0" fontId="0" fillId="19" borderId="9" xfId="0" applyFill="1" applyBorder="1" applyAlignment="1" applyProtection="1">
      <alignment vertical="center"/>
      <protection hidden="1"/>
    </xf>
    <xf numFmtId="0" fontId="35" fillId="7" borderId="9" xfId="0" applyFont="1" applyFill="1" applyBorder="1" applyAlignment="1" applyProtection="1">
      <alignment vertical="center"/>
      <protection hidden="1"/>
    </xf>
    <xf numFmtId="164" fontId="96" fillId="7" borderId="20" xfId="1" applyFont="1" applyFill="1" applyBorder="1" applyProtection="1">
      <protection hidden="1"/>
    </xf>
    <xf numFmtId="0" fontId="58" fillId="19" borderId="10" xfId="0" applyFont="1" applyFill="1" applyBorder="1" applyAlignment="1" applyProtection="1">
      <alignment vertical="center"/>
      <protection hidden="1"/>
    </xf>
    <xf numFmtId="0" fontId="58" fillId="19" borderId="0" xfId="0" applyFont="1" applyFill="1" applyAlignment="1" applyProtection="1">
      <alignment vertical="center"/>
      <protection hidden="1"/>
    </xf>
    <xf numFmtId="0" fontId="58" fillId="19" borderId="18" xfId="0" applyFont="1" applyFill="1" applyBorder="1" applyAlignment="1" applyProtection="1">
      <alignment vertical="center"/>
      <protection hidden="1"/>
    </xf>
    <xf numFmtId="0" fontId="58" fillId="19" borderId="19" xfId="0" applyFont="1" applyFill="1" applyBorder="1" applyAlignment="1" applyProtection="1">
      <alignment vertical="center"/>
      <protection hidden="1"/>
    </xf>
    <xf numFmtId="0" fontId="58" fillId="19" borderId="20" xfId="0" applyFont="1" applyFill="1" applyBorder="1" applyAlignment="1" applyProtection="1">
      <alignment vertical="center"/>
      <protection hidden="1"/>
    </xf>
    <xf numFmtId="0" fontId="137" fillId="0" borderId="4" xfId="0" applyFont="1" applyBorder="1" applyAlignment="1" applyProtection="1">
      <alignment vertical="center"/>
      <protection hidden="1"/>
    </xf>
    <xf numFmtId="0" fontId="138" fillId="0" borderId="4" xfId="0" applyFont="1" applyBorder="1" applyAlignment="1" applyProtection="1">
      <alignment horizontal="center" vertical="center"/>
      <protection hidden="1"/>
    </xf>
    <xf numFmtId="0" fontId="137" fillId="0" borderId="4" xfId="0" applyFont="1" applyBorder="1" applyAlignment="1" applyProtection="1">
      <alignment horizontal="center" vertical="center"/>
      <protection hidden="1"/>
    </xf>
    <xf numFmtId="168" fontId="139" fillId="13" borderId="4" xfId="1" applyNumberFormat="1" applyFont="1" applyFill="1" applyBorder="1" applyAlignment="1" applyProtection="1">
      <alignment vertical="center"/>
      <protection locked="0"/>
    </xf>
    <xf numFmtId="168" fontId="139" fillId="13" borderId="4" xfId="1" applyNumberFormat="1" applyFont="1" applyFill="1" applyBorder="1" applyAlignment="1" applyProtection="1">
      <alignment vertical="center"/>
      <protection hidden="1"/>
    </xf>
    <xf numFmtId="0" fontId="139" fillId="13" borderId="4" xfId="0" applyFont="1" applyFill="1" applyBorder="1" applyAlignment="1" applyProtection="1">
      <alignment horizontal="center" vertical="center"/>
      <protection hidden="1"/>
    </xf>
    <xf numFmtId="0" fontId="140" fillId="0" borderId="4" xfId="0" applyFont="1" applyBorder="1" applyAlignment="1" applyProtection="1">
      <alignment vertical="center"/>
      <protection hidden="1"/>
    </xf>
    <xf numFmtId="0" fontId="140" fillId="50" borderId="4" xfId="0" applyFont="1" applyFill="1" applyBorder="1" applyAlignment="1" applyProtection="1">
      <alignment vertical="center"/>
      <protection hidden="1"/>
    </xf>
    <xf numFmtId="0" fontId="138" fillId="50" borderId="4" xfId="0" applyFont="1" applyFill="1" applyBorder="1" applyAlignment="1" applyProtection="1">
      <alignment horizontal="center" vertical="center"/>
      <protection hidden="1"/>
    </xf>
    <xf numFmtId="0" fontId="137" fillId="50" borderId="4" xfId="0" applyFont="1" applyFill="1" applyBorder="1" applyAlignment="1" applyProtection="1">
      <alignment horizontal="center" vertical="center"/>
      <protection hidden="1"/>
    </xf>
    <xf numFmtId="168" fontId="139" fillId="50" borderId="4" xfId="1" applyNumberFormat="1" applyFont="1" applyFill="1" applyBorder="1" applyAlignment="1" applyProtection="1">
      <alignment vertical="center"/>
      <protection hidden="1"/>
    </xf>
    <xf numFmtId="0" fontId="139" fillId="50" borderId="4" xfId="0" applyFont="1" applyFill="1" applyBorder="1" applyAlignment="1" applyProtection="1">
      <alignment horizontal="center" vertical="center"/>
      <protection hidden="1"/>
    </xf>
    <xf numFmtId="0" fontId="138" fillId="0" borderId="4" xfId="0" applyFont="1" applyBorder="1" applyAlignment="1" applyProtection="1">
      <alignment vertical="center"/>
      <protection hidden="1"/>
    </xf>
    <xf numFmtId="168" fontId="138" fillId="0" borderId="4" xfId="1" applyNumberFormat="1" applyFont="1" applyBorder="1" applyAlignment="1" applyProtection="1">
      <alignment vertical="center"/>
      <protection hidden="1"/>
    </xf>
    <xf numFmtId="0" fontId="137" fillId="0" borderId="6" xfId="0" applyFont="1" applyBorder="1" applyAlignment="1" applyProtection="1">
      <alignment vertical="center"/>
      <protection hidden="1"/>
    </xf>
    <xf numFmtId="0" fontId="139" fillId="0" borderId="6" xfId="0" applyFont="1" applyBorder="1" applyAlignment="1" applyProtection="1">
      <alignment horizontal="center" vertical="center"/>
      <protection hidden="1"/>
    </xf>
    <xf numFmtId="0" fontId="137" fillId="0" borderId="6" xfId="0" applyFont="1" applyBorder="1" applyAlignment="1" applyProtection="1">
      <alignment horizontal="center" vertical="center"/>
      <protection hidden="1"/>
    </xf>
    <xf numFmtId="168" fontId="139" fillId="0" borderId="6" xfId="1" applyNumberFormat="1" applyFont="1" applyBorder="1" applyAlignment="1" applyProtection="1">
      <alignment vertical="center"/>
      <protection hidden="1"/>
    </xf>
    <xf numFmtId="0" fontId="62" fillId="30" borderId="0" xfId="0" applyFont="1" applyFill="1" applyAlignment="1" applyProtection="1">
      <alignment vertical="center"/>
      <protection hidden="1"/>
    </xf>
    <xf numFmtId="0" fontId="139" fillId="30" borderId="54" xfId="0" applyFont="1" applyFill="1" applyBorder="1" applyAlignment="1" applyProtection="1">
      <alignment vertical="center"/>
      <protection hidden="1"/>
    </xf>
    <xf numFmtId="0" fontId="141" fillId="30" borderId="54" xfId="0" applyFont="1" applyFill="1" applyBorder="1" applyAlignment="1" applyProtection="1">
      <alignment vertical="center"/>
      <protection hidden="1"/>
    </xf>
    <xf numFmtId="168" fontId="141" fillId="30" borderId="54" xfId="0" applyNumberFormat="1" applyFont="1" applyFill="1" applyBorder="1" applyAlignment="1" applyProtection="1">
      <alignment vertical="center"/>
      <protection hidden="1"/>
    </xf>
    <xf numFmtId="0" fontId="142" fillId="0" borderId="4" xfId="0" applyFont="1" applyBorder="1" applyAlignment="1" applyProtection="1">
      <alignment horizontal="center" vertical="center"/>
      <protection hidden="1"/>
    </xf>
    <xf numFmtId="168" fontId="139" fillId="0" borderId="4" xfId="1" applyNumberFormat="1" applyFont="1" applyBorder="1" applyAlignment="1" applyProtection="1">
      <alignment vertical="center"/>
      <protection hidden="1"/>
    </xf>
    <xf numFmtId="0" fontId="141" fillId="0" borderId="4" xfId="0" applyFont="1" applyBorder="1" applyAlignment="1" applyProtection="1">
      <alignment horizontal="center" vertical="center"/>
      <protection hidden="1"/>
    </xf>
    <xf numFmtId="0" fontId="62" fillId="0" borderId="4" xfId="0" applyFont="1" applyBorder="1" applyAlignment="1" applyProtection="1">
      <alignment vertical="center"/>
      <protection hidden="1"/>
    </xf>
    <xf numFmtId="168" fontId="142" fillId="0" borderId="4" xfId="1" applyNumberFormat="1" applyFont="1" applyBorder="1" applyAlignment="1" applyProtection="1">
      <alignment vertical="center"/>
      <protection hidden="1"/>
    </xf>
    <xf numFmtId="0" fontId="88" fillId="0" borderId="4" xfId="0" applyFont="1" applyBorder="1" applyAlignment="1" applyProtection="1">
      <alignment vertical="center"/>
      <protection hidden="1"/>
    </xf>
    <xf numFmtId="168" fontId="88" fillId="0" borderId="4" xfId="1" applyNumberFormat="1" applyFont="1" applyBorder="1" applyAlignment="1" applyProtection="1">
      <alignment vertical="center"/>
      <protection hidden="1"/>
    </xf>
    <xf numFmtId="0" fontId="137" fillId="51" borderId="10" xfId="0" applyFont="1" applyFill="1" applyBorder="1" applyAlignment="1" applyProtection="1">
      <alignment vertical="center"/>
      <protection hidden="1"/>
    </xf>
    <xf numFmtId="0" fontId="137" fillId="51" borderId="0" xfId="0" applyFont="1" applyFill="1" applyAlignment="1" applyProtection="1">
      <alignment horizontal="center" vertical="center"/>
      <protection hidden="1"/>
    </xf>
    <xf numFmtId="168" fontId="137" fillId="51" borderId="0" xfId="1" applyNumberFormat="1" applyFont="1" applyFill="1" applyBorder="1" applyAlignment="1" applyProtection="1">
      <alignment vertical="center"/>
      <protection hidden="1"/>
    </xf>
    <xf numFmtId="0" fontId="62" fillId="52" borderId="4" xfId="0" applyFont="1" applyFill="1" applyBorder="1" applyAlignment="1" applyProtection="1">
      <alignment vertical="center"/>
      <protection hidden="1"/>
    </xf>
    <xf numFmtId="0" fontId="62" fillId="52" borderId="4" xfId="0" applyFont="1" applyFill="1" applyBorder="1" applyAlignment="1" applyProtection="1">
      <alignment horizontal="center" vertical="center"/>
      <protection hidden="1"/>
    </xf>
    <xf numFmtId="168" fontId="62" fillId="52" borderId="4" xfId="1" applyNumberFormat="1" applyFont="1" applyFill="1" applyBorder="1" applyAlignment="1" applyProtection="1">
      <alignment vertical="center"/>
      <protection hidden="1"/>
    </xf>
    <xf numFmtId="0" fontId="62" fillId="52" borderId="6" xfId="0" applyFont="1" applyFill="1" applyBorder="1" applyAlignment="1" applyProtection="1">
      <alignment vertical="center"/>
      <protection hidden="1"/>
    </xf>
    <xf numFmtId="0" fontId="62" fillId="52" borderId="6" xfId="0" applyFont="1" applyFill="1" applyBorder="1" applyAlignment="1" applyProtection="1">
      <alignment horizontal="center" vertical="center"/>
      <protection hidden="1"/>
    </xf>
    <xf numFmtId="168" fontId="62" fillId="52" borderId="6" xfId="1" applyNumberFormat="1" applyFont="1" applyFill="1" applyBorder="1" applyAlignment="1" applyProtection="1">
      <alignment vertical="center"/>
      <protection hidden="1"/>
    </xf>
    <xf numFmtId="0" fontId="62" fillId="52" borderId="34" xfId="0" applyFont="1" applyFill="1" applyBorder="1" applyAlignment="1" applyProtection="1">
      <alignment vertical="center"/>
      <protection hidden="1"/>
    </xf>
    <xf numFmtId="0" fontId="62" fillId="52" borderId="35" xfId="0" applyFont="1" applyFill="1" applyBorder="1" applyAlignment="1" applyProtection="1">
      <alignment horizontal="center" vertical="center"/>
      <protection hidden="1"/>
    </xf>
    <xf numFmtId="168" fontId="62" fillId="52" borderId="35" xfId="1" applyNumberFormat="1" applyFont="1" applyFill="1" applyBorder="1" applyAlignment="1" applyProtection="1">
      <alignment vertical="center"/>
      <protection hidden="1"/>
    </xf>
    <xf numFmtId="0" fontId="62" fillId="52" borderId="2" xfId="0" applyFont="1" applyFill="1" applyBorder="1" applyAlignment="1" applyProtection="1">
      <alignment vertical="center"/>
      <protection hidden="1"/>
    </xf>
    <xf numFmtId="0" fontId="62" fillId="52" borderId="2" xfId="0" applyFont="1" applyFill="1" applyBorder="1" applyAlignment="1" applyProtection="1">
      <alignment horizontal="center" vertical="center"/>
      <protection hidden="1"/>
    </xf>
    <xf numFmtId="168" fontId="62" fillId="52" borderId="2" xfId="1" applyNumberFormat="1" applyFont="1" applyFill="1" applyBorder="1" applyAlignment="1" applyProtection="1">
      <alignment vertical="center"/>
      <protection hidden="1"/>
    </xf>
    <xf numFmtId="0" fontId="137" fillId="50" borderId="4" xfId="0" applyFont="1" applyFill="1" applyBorder="1" applyAlignment="1" applyProtection="1">
      <alignment horizontal="right" vertical="center"/>
      <protection hidden="1"/>
    </xf>
    <xf numFmtId="0" fontId="62" fillId="50" borderId="4" xfId="0" applyFont="1" applyFill="1" applyBorder="1" applyAlignment="1" applyProtection="1">
      <alignment horizontal="center" vertical="center"/>
      <protection hidden="1"/>
    </xf>
    <xf numFmtId="168" fontId="137" fillId="50" borderId="4" xfId="1" applyNumberFormat="1" applyFont="1" applyFill="1" applyBorder="1" applyAlignment="1" applyProtection="1">
      <alignment horizontal="center" vertical="center"/>
      <protection hidden="1"/>
    </xf>
    <xf numFmtId="0" fontId="62" fillId="50" borderId="10" xfId="0" applyFont="1" applyFill="1" applyBorder="1" applyAlignment="1" applyProtection="1">
      <alignment vertical="center"/>
      <protection hidden="1"/>
    </xf>
    <xf numFmtId="0" fontId="62" fillId="50" borderId="0" xfId="0" applyFont="1" applyFill="1" applyAlignment="1" applyProtection="1">
      <alignment horizontal="center" vertical="center"/>
      <protection hidden="1"/>
    </xf>
    <xf numFmtId="168" fontId="62" fillId="50" borderId="0" xfId="1" applyNumberFormat="1" applyFont="1" applyFill="1" applyBorder="1" applyAlignment="1" applyProtection="1">
      <alignment vertical="center"/>
      <protection hidden="1"/>
    </xf>
    <xf numFmtId="0" fontId="137" fillId="3" borderId="10" xfId="0" applyFont="1" applyFill="1" applyBorder="1" applyAlignment="1" applyProtection="1">
      <alignment vertical="center"/>
      <protection hidden="1"/>
    </xf>
    <xf numFmtId="0" fontId="137" fillId="3" borderId="0" xfId="0" applyFont="1" applyFill="1" applyAlignment="1" applyProtection="1">
      <alignment horizontal="center" vertical="center"/>
      <protection hidden="1"/>
    </xf>
    <xf numFmtId="168" fontId="137" fillId="3" borderId="0" xfId="1" applyNumberFormat="1" applyFont="1" applyFill="1" applyBorder="1" applyAlignment="1" applyProtection="1">
      <alignment vertical="center"/>
      <protection hidden="1"/>
    </xf>
    <xf numFmtId="0" fontId="62" fillId="0" borderId="10" xfId="0" applyFont="1" applyBorder="1" applyAlignment="1" applyProtection="1">
      <alignment vertical="center"/>
      <protection hidden="1"/>
    </xf>
    <xf numFmtId="0" fontId="62" fillId="0" borderId="0" xfId="0" applyFont="1" applyAlignment="1" applyProtection="1">
      <alignment vertical="center"/>
      <protection hidden="1"/>
    </xf>
    <xf numFmtId="168" fontId="62" fillId="0" borderId="0" xfId="0" applyNumberFormat="1" applyFont="1" applyAlignment="1" applyProtection="1">
      <alignment vertical="center"/>
      <protection hidden="1"/>
    </xf>
    <xf numFmtId="0" fontId="142" fillId="39" borderId="53" xfId="0" applyFont="1" applyFill="1" applyBorder="1" applyAlignment="1" applyProtection="1">
      <alignment vertical="center"/>
      <protection hidden="1"/>
    </xf>
    <xf numFmtId="0" fontId="142" fillId="39" borderId="54" xfId="0" applyFont="1" applyFill="1" applyBorder="1" applyAlignment="1" applyProtection="1">
      <alignment vertical="center"/>
      <protection hidden="1"/>
    </xf>
    <xf numFmtId="168" fontId="142" fillId="39" borderId="54" xfId="0" applyNumberFormat="1" applyFont="1" applyFill="1" applyBorder="1" applyAlignment="1" applyProtection="1">
      <alignment vertical="center"/>
      <protection hidden="1"/>
    </xf>
    <xf numFmtId="0" fontId="62" fillId="0" borderId="4" xfId="0" applyFont="1" applyBorder="1" applyAlignment="1" applyProtection="1">
      <alignment horizontal="right" vertical="center"/>
      <protection hidden="1"/>
    </xf>
    <xf numFmtId="168" fontId="143" fillId="13" borderId="4" xfId="1" applyNumberFormat="1" applyFont="1" applyFill="1" applyBorder="1" applyAlignment="1" applyProtection="1">
      <alignment vertical="center"/>
      <protection hidden="1"/>
    </xf>
    <xf numFmtId="168" fontId="144" fillId="0" borderId="4" xfId="1" applyNumberFormat="1" applyFont="1" applyBorder="1" applyAlignment="1" applyProtection="1">
      <alignment vertical="center"/>
      <protection hidden="1"/>
    </xf>
    <xf numFmtId="2" fontId="141" fillId="0" borderId="4" xfId="0" applyNumberFormat="1" applyFont="1" applyBorder="1" applyAlignment="1" applyProtection="1">
      <alignment horizontal="center" vertical="center"/>
      <protection hidden="1"/>
    </xf>
    <xf numFmtId="168" fontId="139" fillId="13" borderId="3" xfId="1" applyNumberFormat="1" applyFont="1" applyFill="1" applyBorder="1" applyAlignment="1" applyProtection="1">
      <alignment vertical="center"/>
      <protection hidden="1"/>
    </xf>
    <xf numFmtId="0" fontId="62" fillId="0" borderId="4" xfId="0" applyFont="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141" fillId="0" borderId="0" xfId="0" applyFont="1" applyAlignment="1" applyProtection="1">
      <alignment horizontal="center" vertical="center"/>
      <protection hidden="1"/>
    </xf>
    <xf numFmtId="168" fontId="142" fillId="0" borderId="0" xfId="1" applyNumberFormat="1" applyFont="1" applyBorder="1" applyAlignment="1" applyProtection="1">
      <alignment vertical="center"/>
      <protection hidden="1"/>
    </xf>
    <xf numFmtId="0" fontId="142" fillId="39" borderId="10" xfId="0" applyFont="1" applyFill="1" applyBorder="1" applyAlignment="1" applyProtection="1">
      <alignment vertical="center"/>
      <protection hidden="1"/>
    </xf>
    <xf numFmtId="0" fontId="141" fillId="39" borderId="0" xfId="0" applyFont="1" applyFill="1" applyAlignment="1" applyProtection="1">
      <alignment horizontal="center" vertical="center"/>
      <protection hidden="1"/>
    </xf>
    <xf numFmtId="2" fontId="145" fillId="39" borderId="0" xfId="0" applyNumberFormat="1" applyFont="1" applyFill="1" applyAlignment="1" applyProtection="1">
      <alignment horizontal="center" vertical="center"/>
      <protection hidden="1"/>
    </xf>
    <xf numFmtId="168" fontId="138" fillId="39" borderId="54" xfId="1" applyNumberFormat="1" applyFont="1" applyFill="1" applyBorder="1" applyAlignment="1" applyProtection="1">
      <alignment vertical="center"/>
      <protection hidden="1"/>
    </xf>
    <xf numFmtId="2" fontId="141" fillId="13" borderId="4" xfId="0" applyNumberFormat="1" applyFont="1" applyFill="1" applyBorder="1" applyAlignment="1" applyProtection="1">
      <alignment horizontal="center" vertical="center"/>
      <protection hidden="1"/>
    </xf>
    <xf numFmtId="0" fontId="142" fillId="0" borderId="4" xfId="0" applyFont="1" applyBorder="1" applyAlignment="1" applyProtection="1">
      <alignment vertical="center"/>
      <protection hidden="1"/>
    </xf>
    <xf numFmtId="168" fontId="62" fillId="0" borderId="4" xfId="1" applyNumberFormat="1" applyFont="1" applyBorder="1" applyAlignment="1" applyProtection="1">
      <alignment vertical="center"/>
      <protection hidden="1"/>
    </xf>
    <xf numFmtId="0" fontId="137" fillId="42" borderId="10" xfId="0" applyFont="1" applyFill="1" applyBorder="1" applyAlignment="1" applyProtection="1">
      <alignment vertical="center"/>
      <protection hidden="1"/>
    </xf>
    <xf numFmtId="0" fontId="137" fillId="42" borderId="0" xfId="0" applyFont="1" applyFill="1" applyAlignment="1" applyProtection="1">
      <alignment horizontal="center" vertical="center"/>
      <protection hidden="1"/>
    </xf>
    <xf numFmtId="168" fontId="137" fillId="42" borderId="0" xfId="1" applyNumberFormat="1" applyFont="1" applyFill="1" applyBorder="1" applyAlignment="1" applyProtection="1">
      <alignment vertical="center"/>
      <protection hidden="1"/>
    </xf>
    <xf numFmtId="0" fontId="62" fillId="20" borderId="10" xfId="0" applyFont="1" applyFill="1" applyBorder="1" applyAlignment="1" applyProtection="1">
      <alignment vertical="center"/>
      <protection hidden="1"/>
    </xf>
    <xf numFmtId="0" fontId="62" fillId="20" borderId="0" xfId="0" applyFont="1" applyFill="1" applyAlignment="1" applyProtection="1">
      <alignment vertical="center"/>
      <protection hidden="1"/>
    </xf>
    <xf numFmtId="168" fontId="62" fillId="20" borderId="0" xfId="0" applyNumberFormat="1" applyFont="1" applyFill="1" applyAlignment="1" applyProtection="1">
      <alignment vertical="center"/>
      <protection hidden="1"/>
    </xf>
    <xf numFmtId="0" fontId="139" fillId="0" borderId="10" xfId="0" applyFont="1" applyBorder="1" applyAlignment="1" applyProtection="1">
      <alignment vertical="center"/>
      <protection hidden="1"/>
    </xf>
    <xf numFmtId="0" fontId="139" fillId="0" borderId="0" xfId="0" applyFont="1" applyAlignment="1" applyProtection="1">
      <alignment horizontal="center" vertical="center"/>
      <protection hidden="1"/>
    </xf>
    <xf numFmtId="0" fontId="137" fillId="0" borderId="10" xfId="0" applyFont="1" applyBorder="1" applyAlignment="1" applyProtection="1">
      <alignment vertical="center"/>
      <protection hidden="1"/>
    </xf>
    <xf numFmtId="0" fontId="137" fillId="0" borderId="0" xfId="0" applyFont="1" applyAlignment="1" applyProtection="1">
      <alignment horizontal="center" vertical="center"/>
      <protection hidden="1"/>
    </xf>
    <xf numFmtId="168" fontId="139" fillId="0" borderId="0" xfId="1" applyNumberFormat="1" applyFont="1" applyBorder="1" applyAlignment="1" applyProtection="1">
      <alignment vertical="center"/>
      <protection hidden="1"/>
    </xf>
    <xf numFmtId="0" fontId="140" fillId="50" borderId="10" xfId="0" applyFont="1" applyFill="1" applyBorder="1" applyAlignment="1" applyProtection="1">
      <alignment vertical="center"/>
      <protection hidden="1"/>
    </xf>
    <xf numFmtId="0" fontId="138" fillId="50" borderId="0" xfId="0" applyFont="1" applyFill="1" applyAlignment="1" applyProtection="1">
      <alignment horizontal="center" vertical="center"/>
      <protection hidden="1"/>
    </xf>
    <xf numFmtId="0" fontId="137" fillId="50" borderId="0" xfId="0" applyFont="1" applyFill="1" applyAlignment="1" applyProtection="1">
      <alignment horizontal="center" vertical="center"/>
      <protection hidden="1"/>
    </xf>
    <xf numFmtId="2" fontId="137" fillId="0" borderId="0" xfId="0" applyNumberFormat="1" applyFont="1" applyAlignment="1" applyProtection="1">
      <alignment horizontal="center" vertical="center"/>
      <protection hidden="1"/>
    </xf>
    <xf numFmtId="0" fontId="146" fillId="0" borderId="0" xfId="0" applyFont="1" applyAlignment="1" applyProtection="1">
      <alignment horizontal="center" vertical="center"/>
      <protection hidden="1"/>
    </xf>
    <xf numFmtId="0" fontId="62" fillId="15" borderId="84" xfId="0" applyFont="1" applyFill="1" applyBorder="1" applyAlignment="1" applyProtection="1">
      <alignment vertical="center"/>
      <protection hidden="1"/>
    </xf>
    <xf numFmtId="0" fontId="62" fillId="15" borderId="5" xfId="0" applyFont="1" applyFill="1" applyBorder="1" applyAlignment="1" applyProtection="1">
      <alignment horizontal="center" vertical="center"/>
      <protection hidden="1"/>
    </xf>
    <xf numFmtId="0" fontId="137" fillId="15" borderId="6" xfId="0" applyFont="1" applyFill="1" applyBorder="1" applyAlignment="1" applyProtection="1">
      <alignment horizontal="center" vertical="center"/>
      <protection hidden="1"/>
    </xf>
    <xf numFmtId="168" fontId="62" fillId="15" borderId="6" xfId="1" applyNumberFormat="1" applyFont="1" applyFill="1" applyBorder="1" applyAlignment="1" applyProtection="1">
      <alignment vertical="center"/>
      <protection hidden="1"/>
    </xf>
    <xf numFmtId="2" fontId="137" fillId="0" borderId="4" xfId="0" applyNumberFormat="1" applyFont="1" applyBorder="1" applyAlignment="1" applyProtection="1">
      <alignment horizontal="center" vertical="center"/>
      <protection hidden="1"/>
    </xf>
    <xf numFmtId="0" fontId="62" fillId="20" borderId="4" xfId="0" applyFont="1" applyFill="1" applyBorder="1" applyAlignment="1" applyProtection="1">
      <alignment vertical="center"/>
      <protection hidden="1"/>
    </xf>
    <xf numFmtId="0" fontId="137" fillId="20" borderId="4" xfId="0" applyFont="1" applyFill="1" applyBorder="1" applyAlignment="1" applyProtection="1">
      <alignment vertical="center"/>
      <protection hidden="1"/>
    </xf>
    <xf numFmtId="168" fontId="142" fillId="20" borderId="4" xfId="0" applyNumberFormat="1" applyFont="1" applyFill="1" applyBorder="1" applyAlignment="1" applyProtection="1">
      <alignment vertical="center"/>
      <protection hidden="1"/>
    </xf>
    <xf numFmtId="168" fontId="142" fillId="13" borderId="4" xfId="1" applyNumberFormat="1" applyFont="1" applyFill="1" applyBorder="1" applyAlignment="1" applyProtection="1">
      <alignment vertical="center"/>
      <protection hidden="1"/>
    </xf>
    <xf numFmtId="0" fontId="138" fillId="40" borderId="4" xfId="0" applyFont="1" applyFill="1" applyBorder="1" applyAlignment="1" applyProtection="1">
      <alignment vertical="center"/>
      <protection hidden="1"/>
    </xf>
    <xf numFmtId="0" fontId="138" fillId="40" borderId="4" xfId="0" applyFont="1" applyFill="1" applyBorder="1" applyAlignment="1" applyProtection="1">
      <alignment horizontal="center" vertical="center"/>
      <protection hidden="1"/>
    </xf>
    <xf numFmtId="2" fontId="138" fillId="40" borderId="4" xfId="0" applyNumberFormat="1" applyFont="1" applyFill="1" applyBorder="1" applyAlignment="1" applyProtection="1">
      <alignment horizontal="center" vertical="center"/>
      <protection hidden="1"/>
    </xf>
    <xf numFmtId="168" fontId="142" fillId="40" borderId="4" xfId="1" applyNumberFormat="1" applyFont="1" applyFill="1" applyBorder="1" applyAlignment="1" applyProtection="1">
      <alignment vertical="center"/>
      <protection hidden="1"/>
    </xf>
    <xf numFmtId="0" fontId="137" fillId="41" borderId="4" xfId="0" applyFont="1" applyFill="1" applyBorder="1" applyAlignment="1" applyProtection="1">
      <alignment vertical="center"/>
      <protection hidden="1"/>
    </xf>
    <xf numFmtId="0" fontId="137" fillId="41" borderId="4" xfId="0" applyFont="1" applyFill="1" applyBorder="1" applyAlignment="1" applyProtection="1">
      <alignment horizontal="center" vertical="center"/>
      <protection hidden="1"/>
    </xf>
    <xf numFmtId="2" fontId="137" fillId="41" borderId="4" xfId="0" applyNumberFormat="1" applyFont="1" applyFill="1" applyBorder="1" applyAlignment="1" applyProtection="1">
      <alignment horizontal="center" vertical="center"/>
      <protection hidden="1"/>
    </xf>
    <xf numFmtId="168" fontId="142" fillId="41" borderId="4" xfId="1" applyNumberFormat="1" applyFont="1" applyFill="1" applyBorder="1" applyAlignment="1" applyProtection="1">
      <alignment vertical="center"/>
      <protection hidden="1"/>
    </xf>
    <xf numFmtId="0" fontId="137" fillId="0" borderId="86" xfId="0" applyFont="1" applyBorder="1" applyAlignment="1" applyProtection="1">
      <alignment vertical="center"/>
      <protection hidden="1"/>
    </xf>
    <xf numFmtId="168" fontId="142" fillId="0" borderId="86" xfId="1" applyNumberFormat="1" applyFont="1" applyBorder="1" applyAlignment="1" applyProtection="1">
      <alignment vertical="center"/>
      <protection hidden="1"/>
    </xf>
    <xf numFmtId="0" fontId="137" fillId="31" borderId="10" xfId="0" applyFont="1" applyFill="1" applyBorder="1" applyAlignment="1" applyProtection="1">
      <alignment vertical="center"/>
      <protection hidden="1"/>
    </xf>
    <xf numFmtId="0" fontId="137" fillId="31" borderId="0" xfId="0" applyFont="1" applyFill="1" applyAlignment="1" applyProtection="1">
      <alignment horizontal="center" vertical="center"/>
      <protection hidden="1"/>
    </xf>
    <xf numFmtId="168" fontId="137" fillId="31" borderId="0" xfId="1" applyNumberFormat="1" applyFont="1" applyFill="1" applyBorder="1" applyAlignment="1" applyProtection="1">
      <alignment vertical="center"/>
      <protection hidden="1"/>
    </xf>
    <xf numFmtId="0" fontId="147" fillId="0" borderId="57" xfId="0" applyFont="1" applyBorder="1" applyAlignment="1" applyProtection="1">
      <alignment horizontal="center" vertical="center"/>
      <protection hidden="1"/>
    </xf>
    <xf numFmtId="0" fontId="147" fillId="0" borderId="35" xfId="0" applyFont="1" applyBorder="1" applyAlignment="1" applyProtection="1">
      <alignment horizontal="center" vertical="center"/>
      <protection hidden="1"/>
    </xf>
    <xf numFmtId="168" fontId="147" fillId="0" borderId="35" xfId="1" applyNumberFormat="1" applyFont="1" applyBorder="1" applyAlignment="1" applyProtection="1">
      <alignment vertical="center"/>
      <protection hidden="1"/>
    </xf>
    <xf numFmtId="164" fontId="137" fillId="31" borderId="0" xfId="1" applyFont="1" applyFill="1" applyBorder="1" applyAlignment="1" applyProtection="1">
      <alignment vertical="center"/>
      <protection hidden="1"/>
    </xf>
    <xf numFmtId="0" fontId="148" fillId="0" borderId="0" xfId="0" applyFont="1" applyAlignment="1" applyProtection="1">
      <alignment vertical="center"/>
      <protection hidden="1"/>
    </xf>
    <xf numFmtId="0" fontId="62" fillId="0" borderId="86" xfId="0" applyFont="1" applyBorder="1" applyAlignment="1" applyProtection="1">
      <alignment horizontal="center" vertical="center"/>
      <protection hidden="1"/>
    </xf>
    <xf numFmtId="0" fontId="141" fillId="0" borderId="86" xfId="0" applyFont="1" applyBorder="1" applyAlignment="1" applyProtection="1">
      <alignment horizontal="center" vertical="center"/>
      <protection hidden="1"/>
    </xf>
    <xf numFmtId="0" fontId="137" fillId="44" borderId="86" xfId="0" applyFont="1" applyFill="1" applyBorder="1" applyAlignment="1" applyProtection="1">
      <alignment vertical="center"/>
      <protection hidden="1"/>
    </xf>
    <xf numFmtId="0" fontId="137" fillId="44" borderId="86" xfId="0" applyFont="1" applyFill="1" applyBorder="1" applyAlignment="1" applyProtection="1">
      <alignment horizontal="center" vertical="center"/>
      <protection hidden="1"/>
    </xf>
    <xf numFmtId="2" fontId="137" fillId="44" borderId="86" xfId="0" applyNumberFormat="1" applyFont="1" applyFill="1" applyBorder="1" applyAlignment="1" applyProtection="1">
      <alignment horizontal="center" vertical="center"/>
      <protection hidden="1"/>
    </xf>
    <xf numFmtId="168" fontId="142" fillId="44" borderId="86" xfId="1" applyNumberFormat="1" applyFont="1" applyFill="1" applyBorder="1" applyAlignment="1" applyProtection="1">
      <alignment vertical="center"/>
      <protection hidden="1"/>
    </xf>
    <xf numFmtId="0" fontId="58" fillId="40" borderId="0" xfId="0" applyFont="1" applyFill="1" applyAlignment="1" applyProtection="1">
      <alignment vertical="center"/>
      <protection hidden="1"/>
    </xf>
    <xf numFmtId="0" fontId="0" fillId="40" borderId="0" xfId="0" applyFill="1" applyAlignment="1" applyProtection="1">
      <alignment horizontal="center" vertical="center"/>
      <protection hidden="1"/>
    </xf>
    <xf numFmtId="0" fontId="0" fillId="40" borderId="0" xfId="0" applyFill="1" applyAlignment="1" applyProtection="1">
      <alignment vertical="center"/>
      <protection hidden="1"/>
    </xf>
    <xf numFmtId="0" fontId="52" fillId="40" borderId="0" xfId="0" applyFont="1" applyFill="1" applyAlignment="1" applyProtection="1">
      <alignment horizontal="left" vertical="center"/>
      <protection hidden="1"/>
    </xf>
    <xf numFmtId="0" fontId="149" fillId="40" borderId="0" xfId="0" applyFont="1" applyFill="1" applyAlignment="1" applyProtection="1">
      <alignment vertical="center"/>
      <protection hidden="1"/>
    </xf>
    <xf numFmtId="0" fontId="150" fillId="40" borderId="0" xfId="0" applyFont="1" applyFill="1" applyAlignment="1" applyProtection="1">
      <alignment vertical="center"/>
      <protection hidden="1"/>
    </xf>
    <xf numFmtId="0" fontId="33" fillId="19" borderId="13" xfId="0" applyFont="1" applyFill="1" applyBorder="1" applyAlignment="1" applyProtection="1">
      <alignment horizontal="left" vertical="center"/>
      <protection hidden="1"/>
    </xf>
    <xf numFmtId="0" fontId="0" fillId="19" borderId="14" xfId="0" applyFill="1" applyBorder="1" applyAlignment="1" applyProtection="1">
      <alignment horizontal="left" vertical="center"/>
      <protection hidden="1"/>
    </xf>
    <xf numFmtId="0" fontId="0" fillId="19" borderId="15" xfId="0" applyFill="1" applyBorder="1" applyAlignment="1" applyProtection="1">
      <alignment horizontal="left" vertical="center"/>
      <protection hidden="1"/>
    </xf>
    <xf numFmtId="0" fontId="1" fillId="6" borderId="12" xfId="0" applyFont="1" applyFill="1" applyBorder="1" applyAlignment="1" applyProtection="1">
      <alignment horizontal="center"/>
      <protection hidden="1"/>
    </xf>
    <xf numFmtId="0" fontId="1" fillId="6" borderId="25" xfId="0" applyFont="1" applyFill="1" applyBorder="1" applyAlignment="1" applyProtection="1">
      <alignment horizontal="center"/>
      <protection hidden="1"/>
    </xf>
    <xf numFmtId="0" fontId="101" fillId="0" borderId="7" xfId="1" applyNumberFormat="1" applyFont="1" applyBorder="1" applyAlignment="1" applyProtection="1">
      <alignment horizontal="center" vertical="center" wrapText="1"/>
      <protection hidden="1"/>
    </xf>
    <xf numFmtId="0" fontId="101" fillId="0" borderId="9" xfId="1" applyNumberFormat="1" applyFont="1" applyBorder="1" applyAlignment="1" applyProtection="1">
      <alignment horizontal="center" vertical="center" wrapText="1"/>
      <protection hidden="1"/>
    </xf>
    <xf numFmtId="0" fontId="101" fillId="0" borderId="18" xfId="1" applyNumberFormat="1" applyFont="1" applyBorder="1" applyAlignment="1" applyProtection="1">
      <alignment horizontal="center" vertical="center" wrapText="1"/>
      <protection hidden="1"/>
    </xf>
    <xf numFmtId="0" fontId="101" fillId="0" borderId="20" xfId="1" applyNumberFormat="1" applyFont="1" applyBorder="1" applyAlignment="1" applyProtection="1">
      <alignment horizontal="center" vertical="center" wrapText="1"/>
      <protection hidden="1"/>
    </xf>
    <xf numFmtId="0" fontId="33" fillId="23" borderId="49" xfId="0" applyFont="1" applyFill="1" applyBorder="1" applyAlignment="1" applyProtection="1">
      <alignment horizontal="left" vertical="center" wrapText="1"/>
      <protection hidden="1"/>
    </xf>
    <xf numFmtId="0" fontId="33" fillId="23" borderId="50" xfId="0" applyFont="1" applyFill="1" applyBorder="1" applyAlignment="1" applyProtection="1">
      <alignment horizontal="left" vertical="center" wrapText="1"/>
      <protection hidden="1"/>
    </xf>
    <xf numFmtId="0" fontId="33" fillId="23" borderId="5" xfId="0" applyFont="1" applyFill="1" applyBorder="1" applyAlignment="1" applyProtection="1">
      <alignment horizontal="left" vertical="center" wrapText="1"/>
      <protection hidden="1"/>
    </xf>
    <xf numFmtId="0" fontId="33" fillId="23" borderId="51" xfId="0" applyFont="1" applyFill="1" applyBorder="1" applyAlignment="1" applyProtection="1">
      <alignment horizontal="left" vertical="center" wrapText="1"/>
      <protection hidden="1"/>
    </xf>
    <xf numFmtId="0" fontId="33" fillId="23" borderId="0" xfId="0" applyFont="1" applyFill="1" applyAlignment="1" applyProtection="1">
      <alignment horizontal="left" vertical="center" wrapText="1"/>
      <protection hidden="1"/>
    </xf>
    <xf numFmtId="0" fontId="33" fillId="23" borderId="52" xfId="0" applyFont="1" applyFill="1" applyBorder="1" applyAlignment="1" applyProtection="1">
      <alignment horizontal="left" vertical="center" wrapText="1"/>
      <protection hidden="1"/>
    </xf>
    <xf numFmtId="0" fontId="33" fillId="23" borderId="53" xfId="0" applyFont="1" applyFill="1" applyBorder="1" applyAlignment="1" applyProtection="1">
      <alignment horizontal="left" vertical="center" wrapText="1"/>
      <protection hidden="1"/>
    </xf>
    <xf numFmtId="0" fontId="33" fillId="23" borderId="54" xfId="0" applyFont="1" applyFill="1" applyBorder="1" applyAlignment="1" applyProtection="1">
      <alignment horizontal="left" vertical="center" wrapText="1"/>
      <protection hidden="1"/>
    </xf>
    <xf numFmtId="0" fontId="33" fillId="23" borderId="1" xfId="0" applyFont="1" applyFill="1" applyBorder="1" applyAlignment="1" applyProtection="1">
      <alignment horizontal="left" vertical="center" wrapText="1"/>
      <protection hidden="1"/>
    </xf>
    <xf numFmtId="0" fontId="0" fillId="23" borderId="50" xfId="0" applyFill="1" applyBorder="1" applyAlignment="1" applyProtection="1">
      <alignment horizontal="left" vertical="center" wrapText="1"/>
      <protection hidden="1"/>
    </xf>
    <xf numFmtId="0" fontId="0" fillId="23" borderId="5" xfId="0" applyFill="1" applyBorder="1" applyAlignment="1" applyProtection="1">
      <alignment horizontal="left" vertical="center" wrapText="1"/>
      <protection hidden="1"/>
    </xf>
    <xf numFmtId="0" fontId="0" fillId="23" borderId="51" xfId="0" applyFill="1" applyBorder="1" applyAlignment="1" applyProtection="1">
      <alignment horizontal="left" vertical="center" wrapText="1"/>
      <protection hidden="1"/>
    </xf>
    <xf numFmtId="0" fontId="0" fillId="23" borderId="0" xfId="0" applyFill="1" applyAlignment="1" applyProtection="1">
      <alignment horizontal="left" vertical="center" wrapText="1"/>
      <protection hidden="1"/>
    </xf>
    <xf numFmtId="0" fontId="0" fillId="23" borderId="52" xfId="0" applyFill="1" applyBorder="1" applyAlignment="1" applyProtection="1">
      <alignment horizontal="left" vertical="center" wrapText="1"/>
      <protection hidden="1"/>
    </xf>
    <xf numFmtId="0" fontId="0" fillId="23" borderId="53" xfId="0" applyFill="1" applyBorder="1" applyAlignment="1" applyProtection="1">
      <alignment horizontal="left" vertical="center" wrapText="1"/>
      <protection hidden="1"/>
    </xf>
    <xf numFmtId="0" fontId="0" fillId="23" borderId="54" xfId="0" applyFill="1" applyBorder="1" applyAlignment="1" applyProtection="1">
      <alignment horizontal="left" vertical="center" wrapText="1"/>
      <protection hidden="1"/>
    </xf>
    <xf numFmtId="0" fontId="0" fillId="23" borderId="1" xfId="0" applyFill="1" applyBorder="1" applyAlignment="1" applyProtection="1">
      <alignment horizontal="left" vertical="center" wrapText="1"/>
      <protection hidden="1"/>
    </xf>
    <xf numFmtId="164" fontId="44" fillId="0" borderId="55" xfId="1" applyFont="1" applyBorder="1" applyAlignment="1" applyProtection="1">
      <alignment horizontal="center" vertical="center"/>
      <protection hidden="1"/>
    </xf>
    <xf numFmtId="164" fontId="44" fillId="0" borderId="3" xfId="1" applyFont="1" applyBorder="1" applyAlignment="1" applyProtection="1">
      <alignment horizontal="center" vertical="center"/>
      <protection hidden="1"/>
    </xf>
    <xf numFmtId="0" fontId="107" fillId="7" borderId="7" xfId="0" applyFont="1" applyFill="1" applyBorder="1" applyAlignment="1" applyProtection="1">
      <alignment horizontal="center" vertical="center" wrapText="1"/>
      <protection hidden="1"/>
    </xf>
    <xf numFmtId="0" fontId="107" fillId="7" borderId="18" xfId="0" applyFont="1" applyFill="1" applyBorder="1" applyAlignment="1" applyProtection="1">
      <alignment horizontal="center" vertical="center" wrapText="1"/>
      <protection hidden="1"/>
    </xf>
    <xf numFmtId="0" fontId="62" fillId="55" borderId="0" xfId="0" applyFont="1" applyFill="1" applyAlignment="1" applyProtection="1">
      <alignment horizontal="center" vertical="center"/>
      <protection hidden="1"/>
    </xf>
  </cellXfs>
  <cellStyles count="4">
    <cellStyle name="Millares" xfId="1" builtinId="3"/>
    <cellStyle name="Moneda" xfId="3" builtinId="4"/>
    <cellStyle name="Normal" xfId="0" builtinId="0"/>
    <cellStyle name="Porcentaje" xfId="2" builtinId="5"/>
  </cellStyles>
  <dxfs count="37">
    <dxf>
      <font>
        <color rgb="FF00B050"/>
      </font>
    </dxf>
    <dxf>
      <font>
        <color rgb="FFFF0000"/>
      </font>
    </dxf>
    <dxf>
      <fill>
        <patternFill>
          <bgColor rgb="FFFFFF00"/>
        </patternFill>
      </fill>
    </dxf>
    <dxf>
      <fill>
        <patternFill>
          <bgColor rgb="FF232629"/>
        </patternFill>
      </fill>
    </dxf>
    <dxf>
      <fill>
        <patternFill patternType="solid">
          <fgColor indexed="64"/>
          <bgColor theme="0" tint="-0.14999847407452621"/>
        </patternFill>
      </fill>
      <border diagonalUp="0" diagonalDown="0">
        <left style="thin">
          <color auto="1"/>
        </left>
        <right style="thin">
          <color indexed="64"/>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indexed="64"/>
        </left>
        <right style="thin">
          <color auto="1"/>
        </right>
        <top style="thin">
          <color indexed="64"/>
        </top>
        <bottom style="thin">
          <color indexed="64"/>
        </bottom>
      </border>
      <protection locked="0" hidden="0"/>
    </dxf>
    <dxf>
      <border diagonalUp="0" diagonalDown="0">
        <left style="thin">
          <color indexed="64"/>
        </left>
        <right style="thin">
          <color auto="1"/>
        </right>
        <top style="thin">
          <color indexed="64"/>
        </top>
        <bottom style="thin">
          <color indexed="64"/>
        </bottom>
      </border>
      <protection locked="1" hidden="1"/>
    </dxf>
    <dxf>
      <protection locked="1" hidden="1"/>
    </dxf>
    <dxf>
      <border>
        <bottom style="medium">
          <color indexed="64"/>
        </bottom>
      </border>
    </dxf>
    <dxf>
      <alignment vertical="center" textRotation="0" wrapText="0" indent="0" justifyLastLine="0" shrinkToFit="0" readingOrder="0"/>
      <border diagonalUp="0" diagonalDown="0">
        <left style="hair">
          <color auto="1"/>
        </left>
        <right style="hair">
          <color auto="1"/>
        </right>
        <top/>
        <bottom/>
        <vertical style="hair">
          <color auto="1"/>
        </vertical>
        <horizontal/>
      </border>
      <protection locked="1" hidden="1"/>
    </dxf>
    <dxf>
      <font>
        <strike val="0"/>
        <outline val="0"/>
        <shadow val="0"/>
        <u val="none"/>
        <vertAlign val="baseline"/>
        <sz val="9"/>
        <name val="Arial"/>
        <family val="2"/>
        <charset val="1"/>
        <scheme val="none"/>
      </font>
      <border diagonalUp="0" diagonalDown="0">
        <left style="thin">
          <color auto="1"/>
        </left>
        <right style="thin">
          <color auto="1"/>
        </right>
        <top style="thin">
          <color auto="1"/>
        </top>
        <bottom style="thin">
          <color auto="1"/>
        </bottom>
        <vertical/>
        <horizontal/>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0" hidden="0"/>
    </dxf>
    <dxf>
      <font>
        <strike val="0"/>
        <outline val="0"/>
        <shadow val="0"/>
        <u val="none"/>
        <vertAlign val="baseline"/>
        <sz val="9"/>
        <color rgb="FF000000"/>
        <name val="Arial"/>
        <family val="2"/>
        <charset val="1"/>
        <scheme val="none"/>
      </font>
      <border diagonalUp="0" diagonalDown="0">
        <left style="thin">
          <color indexed="64"/>
        </left>
        <right style="thin">
          <color auto="1"/>
        </right>
        <top style="thin">
          <color indexed="64"/>
        </top>
        <bottom style="thin">
          <color indexed="64"/>
        </bottom>
      </border>
      <protection locked="1" hidden="1"/>
    </dxf>
    <dxf>
      <protection locked="1" hidden="1"/>
    </dxf>
    <dxf>
      <border>
        <bottom style="medium">
          <color indexed="64"/>
        </bottom>
      </border>
    </dxf>
    <dxf>
      <alignment vertical="center" textRotation="0" wrapText="0" indent="0" justifyLastLine="0" shrinkToFit="0" readingOrder="0"/>
      <border diagonalUp="0" diagonalDown="0">
        <left style="thin">
          <color auto="1"/>
        </left>
        <right style="thin">
          <color auto="1"/>
        </right>
        <top/>
        <bottom/>
        <vertical style="thin">
          <color auto="1"/>
        </vertical>
        <horizontal/>
      </border>
      <protection locked="1" hidden="1"/>
    </dxf>
  </dxfs>
  <tableStyles count="0" defaultTableStyle="TableStyleMedium9" defaultPivotStyle="PivotStyleLight16"/>
  <colors>
    <indexedColors>
      <rgbColor rgb="FF000000"/>
      <rgbColor rgb="FFFFFFE5"/>
      <rgbColor rgb="FFFF0000"/>
      <rgbColor rgb="FF00FF00"/>
      <rgbColor rgb="FF0000FF"/>
      <rgbColor rgb="FFFFFF00"/>
      <rgbColor rgb="FFFF00FF"/>
      <rgbColor rgb="FF00FFFF"/>
      <rgbColor rgb="FF800000"/>
      <rgbColor rgb="FF008000"/>
      <rgbColor rgb="FF000080"/>
      <rgbColor rgb="FF808000"/>
      <rgbColor rgb="FF8500A4"/>
      <rgbColor rgb="FF008080"/>
      <rgbColor rgb="FFC0C0C0"/>
      <rgbColor rgb="FF808080"/>
      <rgbColor rgb="FFE98BFF"/>
      <rgbColor rgb="FF7030A0"/>
      <rgbColor rgb="FFFFFFCC"/>
      <rgbColor rgb="FFDBEEF4"/>
      <rgbColor rgb="FF660066"/>
      <rgbColor rgb="FFFF8F8F"/>
      <rgbColor rgb="FF0066CC"/>
      <rgbColor rgb="FFD9D9D9"/>
      <rgbColor rgb="FF000080"/>
      <rgbColor rgb="FFFF00FF"/>
      <rgbColor rgb="FFFFFF00"/>
      <rgbColor rgb="FF00FFFF"/>
      <rgbColor rgb="FF800080"/>
      <rgbColor rgb="FF800000"/>
      <rgbColor rgb="FF008080"/>
      <rgbColor rgb="FF0000CC"/>
      <rgbColor rgb="FF00CCFF"/>
      <rgbColor rgb="FFF0F7FA"/>
      <rgbColor rgb="FFD7E4BD"/>
      <rgbColor rgb="FFDCE6F2"/>
      <rgbColor rgb="FFB7DEE8"/>
      <rgbColor rgb="FFFD958D"/>
      <rgbColor rgb="FFEB97FF"/>
      <rgbColor rgb="FFFAC090"/>
      <rgbColor rgb="FF3366FF"/>
      <rgbColor rgb="FF33CCCC"/>
      <rgbColor rgb="FFC3D69B"/>
      <rgbColor rgb="FFFEBAAC"/>
      <rgbColor rgb="FFFF9900"/>
      <rgbColor rgb="FFFF6600"/>
      <rgbColor rgb="FF666699"/>
      <rgbColor rgb="FFA6A6A6"/>
      <rgbColor rgb="FF003366"/>
      <rgbColor rgb="FF339966"/>
      <rgbColor rgb="FF141312"/>
      <rgbColor rgb="FF232629"/>
      <rgbColor rgb="FF993300"/>
      <rgbColor rgb="FF993366"/>
      <rgbColor rgb="FF333399"/>
      <rgbColor rgb="FF403152"/>
      <rgbColor rgb="00003366"/>
      <rgbColor rgb="00339966"/>
      <rgbColor rgb="00003300"/>
      <rgbColor rgb="00333300"/>
      <rgbColor rgb="00993300"/>
      <rgbColor rgb="00993366"/>
      <rgbColor rgb="00333399"/>
      <rgbColor rgb="00333333"/>
    </indexedColors>
    <mruColors>
      <color rgb="FF0000FF"/>
      <color rgb="FFC5B9D5"/>
      <color rgb="FFFF9B9B"/>
      <color rgb="FFFFFED1"/>
      <color rgb="FFFFFFC9"/>
      <color rgb="FFE3DE00"/>
      <color rgb="FFF5F7A9"/>
      <color rgb="FF7B7B7B"/>
      <color rgb="FFF9C9FB"/>
      <color rgb="FFF8C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571500</xdr:colOff>
      <xdr:row>12</xdr:row>
      <xdr:rowOff>114300</xdr:rowOff>
    </xdr:from>
    <xdr:to>
      <xdr:col>18</xdr:col>
      <xdr:colOff>525780</xdr:colOff>
      <xdr:row>15</xdr:row>
      <xdr:rowOff>53340</xdr:rowOff>
    </xdr:to>
    <xdr:sp macro="" textlink="">
      <xdr:nvSpPr>
        <xdr:cNvPr id="2" name="Flecha: hacia abajo 1">
          <a:extLst>
            <a:ext uri="{FF2B5EF4-FFF2-40B4-BE49-F238E27FC236}">
              <a16:creationId xmlns:a16="http://schemas.microsoft.com/office/drawing/2014/main" id="{2A99EADB-2B12-6629-7342-A9F469DFD81A}"/>
            </a:ext>
          </a:extLst>
        </xdr:cNvPr>
        <xdr:cNvSpPr/>
      </xdr:nvSpPr>
      <xdr:spPr>
        <a:xfrm>
          <a:off x="14706600" y="2034540"/>
          <a:ext cx="952500" cy="419100"/>
        </a:xfrm>
        <a:prstGeom prst="downArrow">
          <a:avLst>
            <a:gd name="adj1" fmla="val 50000"/>
            <a:gd name="adj2" fmla="val 48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15240</xdr:colOff>
      <xdr:row>305</xdr:row>
      <xdr:rowOff>91440</xdr:rowOff>
    </xdr:from>
    <xdr:to>
      <xdr:col>19</xdr:col>
      <xdr:colOff>373380</xdr:colOff>
      <xdr:row>305</xdr:row>
      <xdr:rowOff>99060</xdr:rowOff>
    </xdr:to>
    <xdr:cxnSp macro="">
      <xdr:nvCxnSpPr>
        <xdr:cNvPr id="3" name="2 Conector recto">
          <a:extLst>
            <a:ext uri="{FF2B5EF4-FFF2-40B4-BE49-F238E27FC236}">
              <a16:creationId xmlns:a16="http://schemas.microsoft.com/office/drawing/2014/main" id="{00000000-0008-0000-0100-000003000000}"/>
            </a:ext>
          </a:extLst>
        </xdr:cNvPr>
        <xdr:cNvCxnSpPr/>
      </xdr:nvCxnSpPr>
      <xdr:spPr>
        <a:xfrm>
          <a:off x="19156680" y="26220420"/>
          <a:ext cx="358140" cy="7620"/>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19</xdr:col>
      <xdr:colOff>365760</xdr:colOff>
      <xdr:row>301</xdr:row>
      <xdr:rowOff>60960</xdr:rowOff>
    </xdr:from>
    <xdr:to>
      <xdr:col>19</xdr:col>
      <xdr:colOff>457200</xdr:colOff>
      <xdr:row>305</xdr:row>
      <xdr:rowOff>83820</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9507200" y="25610820"/>
          <a:ext cx="91440" cy="601980"/>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1:P19" totalsRowShown="0" headerRowDxfId="36" dataDxfId="34" headerRowBorderDxfId="35">
  <tableColumns count="14">
    <tableColumn id="1" xr3:uid="{00000000-0010-0000-0000-000001000000}" name="Deducciones Generales" dataDxfId="33"/>
    <tableColumn id="2" xr3:uid="{00000000-0010-0000-0000-000002000000}" name="importe mensual" dataDxfId="32"/>
    <tableColumn id="3" xr3:uid="{00000000-0010-0000-0000-000003000000}" name="Febrero" dataDxfId="31">
      <calculatedColumnFormula>Table_1[[#This Row],[importe mensual]]</calculatedColumnFormula>
    </tableColumn>
    <tableColumn id="4" xr3:uid="{00000000-0010-0000-0000-000004000000}" name="Marzo" dataDxfId="30"/>
    <tableColumn id="5" xr3:uid="{00000000-0010-0000-0000-000005000000}" name="Abril" dataDxfId="29"/>
    <tableColumn id="6" xr3:uid="{00000000-0010-0000-0000-000006000000}" name="Mayo" dataDxfId="28"/>
    <tableColumn id="7" xr3:uid="{00000000-0010-0000-0000-000007000000}" name="Junio" dataDxfId="27"/>
    <tableColumn id="8" xr3:uid="{00000000-0010-0000-0000-000008000000}" name="Julio" dataDxfId="26"/>
    <tableColumn id="9" xr3:uid="{00000000-0010-0000-0000-000009000000}" name="Agosto" dataDxfId="25"/>
    <tableColumn id="10" xr3:uid="{00000000-0010-0000-0000-00000A000000}" name="Septiembre" dataDxfId="24"/>
    <tableColumn id="11" xr3:uid="{00000000-0010-0000-0000-00000B000000}" name="Octubre" dataDxfId="23"/>
    <tableColumn id="12" xr3:uid="{00000000-0010-0000-0000-00000C000000}" name="Noviembre" dataDxfId="22"/>
    <tableColumn id="13" xr3:uid="{00000000-0010-0000-0000-00000D000000}" name="Diciembre" dataDxfId="21"/>
    <tableColumn id="14" xr3:uid="{00000000-0010-0000-0000-00000E000000}" name="Total" dataDxfId="20" dataCellStyle="Millares">
      <calculatedColumnFormula>+SUM($D2:$O2)</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25:O30" totalsRowShown="0" headerRowDxfId="19" dataDxfId="17" headerRowBorderDxfId="18">
  <tableColumns count="13">
    <tableColumn id="1" xr3:uid="{00000000-0010-0000-0100-000001000000}" name="Deducciones Personales. Cargas de Familia." dataDxfId="16"/>
    <tableColumn id="2" xr3:uid="{00000000-0010-0000-0100-000002000000}" name="cant mensual" dataDxfId="15"/>
    <tableColumn id="3" xr3:uid="{00000000-0010-0000-0100-000003000000}" name="Febrero" dataDxfId="14"/>
    <tableColumn id="4" xr3:uid="{00000000-0010-0000-0100-000004000000}" name="Marzo" dataDxfId="13"/>
    <tableColumn id="5" xr3:uid="{00000000-0010-0000-0100-000005000000}" name="Abril" dataDxfId="12"/>
    <tableColumn id="6" xr3:uid="{00000000-0010-0000-0100-000006000000}" name="Mayo" dataDxfId="11"/>
    <tableColumn id="7" xr3:uid="{00000000-0010-0000-0100-000007000000}" name="Junio" dataDxfId="10"/>
    <tableColumn id="8" xr3:uid="{00000000-0010-0000-0100-000008000000}" name="Julio" dataDxfId="9"/>
    <tableColumn id="9" xr3:uid="{00000000-0010-0000-0100-000009000000}" name="Agosto" dataDxfId="8"/>
    <tableColumn id="10" xr3:uid="{00000000-0010-0000-0100-00000A000000}" name="Septiembre" dataDxfId="7"/>
    <tableColumn id="11" xr3:uid="{00000000-0010-0000-0100-00000B000000}" name="Octubre" dataDxfId="6"/>
    <tableColumn id="12" xr3:uid="{00000000-0010-0000-0100-00000C000000}" name="Noviembre" dataDxfId="5"/>
    <tableColumn id="13" xr3:uid="{00000000-0010-0000-0100-00000D000000}" name="Diciembre" dataDxfId="4"/>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E105B-5B2C-4EFC-9B4B-16EE99C08420}">
  <sheetPr>
    <pageSetUpPr fitToPage="1"/>
  </sheetPr>
  <dimension ref="A2:C25"/>
  <sheetViews>
    <sheetView workbookViewId="0">
      <selection activeCell="G7" sqref="G7"/>
    </sheetView>
  </sheetViews>
  <sheetFormatPr baseColWidth="10" defaultColWidth="11.5703125" defaultRowHeight="12.75" x14ac:dyDescent="0.2"/>
  <cols>
    <col min="1" max="1" width="31.5703125" style="29" customWidth="1"/>
    <col min="2" max="2" width="32" style="29" customWidth="1"/>
    <col min="3" max="16384" width="11.5703125" style="29"/>
  </cols>
  <sheetData>
    <row r="2" spans="1:3" ht="15" x14ac:dyDescent="0.25">
      <c r="A2" s="132" t="s">
        <v>19</v>
      </c>
      <c r="B2" s="133">
        <v>2024</v>
      </c>
    </row>
    <row r="4" spans="1:3" x14ac:dyDescent="0.2">
      <c r="A4" s="29" t="s">
        <v>331</v>
      </c>
      <c r="B4" s="134"/>
    </row>
    <row r="5" spans="1:3" x14ac:dyDescent="0.2">
      <c r="A5" s="29" t="s">
        <v>332</v>
      </c>
      <c r="B5" s="134"/>
    </row>
    <row r="7" spans="1:3" x14ac:dyDescent="0.2">
      <c r="A7" s="29" t="s">
        <v>333</v>
      </c>
      <c r="B7" s="134"/>
    </row>
    <row r="8" spans="1:3" x14ac:dyDescent="0.2">
      <c r="A8" s="29" t="s">
        <v>334</v>
      </c>
      <c r="B8" s="134"/>
    </row>
    <row r="11" spans="1:3" s="135" customFormat="1" x14ac:dyDescent="0.2">
      <c r="A11" s="135" t="s">
        <v>328</v>
      </c>
      <c r="B11" s="136" t="s">
        <v>18</v>
      </c>
    </row>
    <row r="12" spans="1:3" x14ac:dyDescent="0.2">
      <c r="A12" s="29" t="s">
        <v>329</v>
      </c>
      <c r="B12" s="137"/>
    </row>
    <row r="13" spans="1:3" x14ac:dyDescent="0.2">
      <c r="A13" s="29" t="s">
        <v>330</v>
      </c>
      <c r="B13" s="138" t="s">
        <v>445</v>
      </c>
    </row>
    <row r="16" spans="1:3" x14ac:dyDescent="0.2">
      <c r="A16" s="139" t="s">
        <v>443</v>
      </c>
      <c r="B16" s="140">
        <v>0</v>
      </c>
      <c r="C16" s="141" t="s">
        <v>432</v>
      </c>
    </row>
    <row r="17" spans="1:3" x14ac:dyDescent="0.2">
      <c r="A17" s="142" t="s">
        <v>444</v>
      </c>
      <c r="B17" s="143">
        <v>0</v>
      </c>
      <c r="C17" s="141" t="s">
        <v>432</v>
      </c>
    </row>
    <row r="18" spans="1:3" x14ac:dyDescent="0.2">
      <c r="A18" s="139" t="s">
        <v>433</v>
      </c>
      <c r="B18" s="130">
        <f>IF(B16&gt;B17,0,B17-B16)</f>
        <v>0</v>
      </c>
    </row>
    <row r="20" spans="1:3" x14ac:dyDescent="0.2">
      <c r="A20" s="144" t="s">
        <v>404</v>
      </c>
      <c r="B20" s="140">
        <v>0</v>
      </c>
    </row>
    <row r="25" spans="1:3" ht="15.6" customHeight="1" x14ac:dyDescent="0.3">
      <c r="A25" s="145" t="s">
        <v>368</v>
      </c>
      <c r="B25" s="146"/>
    </row>
  </sheetData>
  <sheetProtection algorithmName="SHA-512" hashValue="PXL46GiZ/Eo90lSh5JSpWb/eTdY/k5jrtx+gnrcSPPSmubgtF3UQ190ieQvuDnc+NRtlbWEebk5+BcCaPbOt5g==" saltValue="VaWWXKYRSkX67achE+18oA==" spinCount="100000" sheet="1" objects="1" scenarios="1" selectLockedCells="1" selectUnlockedCells="1"/>
  <dataValidations count="2">
    <dataValidation type="list" operator="equal" allowBlank="1" showErrorMessage="1" sqref="B11" xr:uid="{01AE94BF-4453-4B12-A08E-6F59C8787F47}">
      <formula1>"SI,NO"</formula1>
    </dataValidation>
    <dataValidation type="list" showInputMessage="1" showErrorMessage="1" sqref="B13" xr:uid="{11D5A345-D0DC-4363-BD47-8B0E56CB9EFD}">
      <formula1>"Junio-Diciembre,Anual"</formula1>
    </dataValidation>
  </dataValidations>
  <pageMargins left="0.70866141732283472" right="0.70866141732283472" top="0.74803149606299213" bottom="0.74803149606299213" header="0.31496062992125984" footer="0.31496062992125984"/>
  <pageSetup scale="9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986"/>
  <sheetViews>
    <sheetView showGridLines="0" showRowColHeaders="0" topLeftCell="A30" zoomScaleNormal="100" workbookViewId="0">
      <selection activeCell="D33" sqref="D33"/>
    </sheetView>
  </sheetViews>
  <sheetFormatPr baseColWidth="10" defaultColWidth="14.5703125" defaultRowHeight="12.75" x14ac:dyDescent="0.2"/>
  <cols>
    <col min="1" max="1" width="1.85546875" style="29" customWidth="1"/>
    <col min="2" max="2" width="1.7109375" style="29" customWidth="1"/>
    <col min="3" max="3" width="23.5703125" style="29" customWidth="1"/>
    <col min="4" max="4" width="15.5703125" style="29" customWidth="1"/>
    <col min="5" max="6" width="15" style="29" hidden="1" customWidth="1"/>
    <col min="7" max="7" width="14.28515625" style="29" hidden="1" customWidth="1"/>
    <col min="8" max="13" width="13.28515625" style="29" hidden="1" customWidth="1"/>
    <col min="14" max="14" width="2.5703125" style="29" hidden="1" customWidth="1"/>
    <col min="15" max="15" width="5.28515625" style="29" hidden="1" customWidth="1"/>
    <col min="16" max="16" width="10.42578125" style="29" customWidth="1"/>
    <col min="17" max="17" width="3.85546875" style="29" customWidth="1"/>
    <col min="18" max="1010" width="14.5703125" style="29"/>
    <col min="1011" max="1013" width="11.5703125" style="29" customWidth="1"/>
    <col min="1014" max="16384" width="14.5703125" style="29"/>
  </cols>
  <sheetData>
    <row r="1" spans="3:17" ht="12.75" hidden="1" customHeight="1" thickBot="1" x14ac:dyDescent="0.25"/>
    <row r="2" spans="3:17" ht="12.75" hidden="1" customHeight="1" thickBot="1" x14ac:dyDescent="0.25">
      <c r="C2" s="794" t="s">
        <v>415</v>
      </c>
      <c r="D2" s="794"/>
      <c r="E2" s="794"/>
      <c r="F2" s="794"/>
      <c r="G2" s="185" t="s">
        <v>393</v>
      </c>
      <c r="H2" s="186" t="s">
        <v>39</v>
      </c>
      <c r="I2" s="187"/>
      <c r="J2" s="187"/>
      <c r="K2" s="187"/>
      <c r="L2" s="187"/>
      <c r="M2" s="187"/>
      <c r="N2" s="187"/>
      <c r="O2" s="188"/>
    </row>
    <row r="3" spans="3:17" ht="12.75" hidden="1" customHeight="1" thickBot="1" x14ac:dyDescent="0.25">
      <c r="C3" s="189" t="s">
        <v>40</v>
      </c>
      <c r="D3" s="190"/>
      <c r="E3" s="191">
        <f>3091035*$D$9*$D$10</f>
        <v>3091035</v>
      </c>
      <c r="F3" s="123">
        <f>ROUND(E3*1.22,2)</f>
        <v>3771062.7</v>
      </c>
      <c r="G3" s="125">
        <f>+IF(Parametros!$B$11="NO",E3,F3)</f>
        <v>3091035</v>
      </c>
      <c r="H3" s="192" t="s">
        <v>410</v>
      </c>
      <c r="I3" s="193"/>
      <c r="J3" s="193"/>
      <c r="K3" s="193"/>
      <c r="L3" s="193"/>
      <c r="M3" s="193"/>
      <c r="N3" s="193"/>
      <c r="O3" s="194">
        <v>195845.39</v>
      </c>
      <c r="Q3" s="195"/>
    </row>
    <row r="4" spans="3:17" ht="12.75" hidden="1" customHeight="1" thickBot="1" x14ac:dyDescent="0.25">
      <c r="C4" s="196" t="s">
        <v>53</v>
      </c>
      <c r="D4" s="190"/>
      <c r="E4" s="197">
        <f>2911135*$D$9*$D$10</f>
        <v>2911135</v>
      </c>
      <c r="F4" s="123">
        <f t="shared" ref="F4:F5" si="0">ROUND(E4*1.22,2)</f>
        <v>3551584.7</v>
      </c>
      <c r="G4" s="125">
        <f>+IF(Parametros!$B$11="NO",E4,F4)</f>
        <v>2911135</v>
      </c>
      <c r="H4" s="198" t="s">
        <v>41</v>
      </c>
      <c r="I4" s="199"/>
      <c r="J4" s="199"/>
      <c r="K4" s="199"/>
      <c r="L4" s="199"/>
      <c r="M4" s="199"/>
      <c r="N4" s="199"/>
      <c r="O4" s="200">
        <v>996.23</v>
      </c>
      <c r="Q4" s="195"/>
    </row>
    <row r="5" spans="3:17" ht="12.75" hidden="1" customHeight="1" thickBot="1" x14ac:dyDescent="0.25">
      <c r="C5" s="196" t="s">
        <v>97</v>
      </c>
      <c r="D5" s="190"/>
      <c r="E5" s="197">
        <f>1468096*$D$9*$D$10</f>
        <v>1468096</v>
      </c>
      <c r="F5" s="123">
        <f t="shared" si="0"/>
        <v>1791077.12</v>
      </c>
      <c r="G5" s="125">
        <f>+IF(Parametros!$B$11="NO",E5,F5)</f>
        <v>1468096</v>
      </c>
      <c r="H5" s="198" t="s">
        <v>411</v>
      </c>
      <c r="I5" s="199"/>
      <c r="J5" s="199"/>
      <c r="K5" s="199"/>
      <c r="L5" s="199"/>
      <c r="M5" s="199"/>
      <c r="N5" s="199"/>
      <c r="O5" s="201">
        <f>+O3</f>
        <v>195845.39</v>
      </c>
      <c r="Q5" s="195"/>
    </row>
    <row r="6" spans="3:17" ht="12.75" hidden="1" customHeight="1" thickBot="1" x14ac:dyDescent="0.25">
      <c r="C6" s="202" t="s">
        <v>96</v>
      </c>
      <c r="D6" s="190"/>
      <c r="E6" s="203">
        <f>+E5*2</f>
        <v>2936192</v>
      </c>
      <c r="F6" s="124">
        <f>F5*2</f>
        <v>3582154.24</v>
      </c>
      <c r="G6" s="125">
        <f>+IF(Parametros!$B$11="NO",E6,F6)</f>
        <v>2936192</v>
      </c>
      <c r="H6" s="198" t="s">
        <v>42</v>
      </c>
      <c r="I6" s="199"/>
      <c r="J6" s="199"/>
      <c r="K6" s="199"/>
      <c r="L6" s="199"/>
      <c r="M6" s="199"/>
      <c r="N6" s="199"/>
      <c r="O6" s="200">
        <v>20000</v>
      </c>
      <c r="Q6" s="195"/>
    </row>
    <row r="7" spans="3:17" ht="12.75" hidden="1" customHeight="1" thickBot="1" x14ac:dyDescent="0.25">
      <c r="C7" s="196" t="s">
        <v>95</v>
      </c>
      <c r="D7" s="190"/>
      <c r="E7" s="197">
        <f>14836968*$D$9*$D$10</f>
        <v>14836968</v>
      </c>
      <c r="F7" s="123">
        <f>ROUND(E7*1.22,2)</f>
        <v>18101100.960000001</v>
      </c>
      <c r="G7" s="125">
        <f>+IF(Parametros!$B$11="NO",E7,F7)</f>
        <v>14836968</v>
      </c>
      <c r="H7" s="198" t="s">
        <v>43</v>
      </c>
      <c r="I7" s="199"/>
      <c r="J7" s="199"/>
      <c r="K7" s="199"/>
      <c r="L7" s="199"/>
      <c r="M7" s="199"/>
      <c r="N7" s="199"/>
      <c r="O7" s="201">
        <f>+G3</f>
        <v>3091035</v>
      </c>
      <c r="P7" s="29" t="s">
        <v>65</v>
      </c>
      <c r="Q7" s="195"/>
    </row>
    <row r="8" spans="3:17" ht="12.75" hidden="1" customHeight="1" thickBot="1" x14ac:dyDescent="0.25">
      <c r="C8" s="204"/>
      <c r="D8" s="204"/>
      <c r="E8" s="205"/>
      <c r="F8" s="205"/>
      <c r="G8" s="206"/>
      <c r="H8" s="198" t="s">
        <v>62</v>
      </c>
      <c r="I8" s="199"/>
      <c r="J8" s="199"/>
      <c r="K8" s="199"/>
      <c r="L8" s="199"/>
      <c r="M8" s="199"/>
      <c r="N8" s="199"/>
      <c r="O8" s="201">
        <f>+G3</f>
        <v>3091035</v>
      </c>
      <c r="P8" s="29" t="s">
        <v>65</v>
      </c>
      <c r="Q8" s="111"/>
    </row>
    <row r="9" spans="3:17" ht="12.75" hidden="1" customHeight="1" x14ac:dyDescent="0.2">
      <c r="C9" s="207" t="s">
        <v>418</v>
      </c>
      <c r="D9" s="208">
        <v>1</v>
      </c>
      <c r="E9" s="796" t="s">
        <v>417</v>
      </c>
      <c r="F9" s="797"/>
      <c r="G9" s="206"/>
      <c r="H9" s="198" t="s">
        <v>44</v>
      </c>
      <c r="I9" s="199"/>
      <c r="J9" s="199"/>
      <c r="K9" s="199"/>
      <c r="L9" s="199"/>
      <c r="M9" s="199"/>
      <c r="N9" s="199"/>
      <c r="O9" s="209">
        <v>0.05</v>
      </c>
      <c r="Q9" s="195"/>
    </row>
    <row r="10" spans="3:17" ht="12.75" hidden="1" customHeight="1" thickBot="1" x14ac:dyDescent="0.25">
      <c r="C10" s="210" t="s">
        <v>416</v>
      </c>
      <c r="D10" s="211">
        <v>1</v>
      </c>
      <c r="E10" s="798"/>
      <c r="F10" s="799"/>
      <c r="G10" s="206"/>
      <c r="H10" s="198" t="s">
        <v>45</v>
      </c>
      <c r="I10" s="199"/>
      <c r="J10" s="199"/>
      <c r="K10" s="199"/>
      <c r="L10" s="199"/>
      <c r="M10" s="199"/>
      <c r="N10" s="199"/>
      <c r="O10" s="209">
        <v>0.4</v>
      </c>
      <c r="Q10" s="195"/>
    </row>
    <row r="11" spans="3:17" ht="12.75" hidden="1" customHeight="1" x14ac:dyDescent="0.2">
      <c r="H11" s="198" t="s">
        <v>46</v>
      </c>
      <c r="I11" s="199"/>
      <c r="J11" s="199"/>
      <c r="K11" s="199"/>
      <c r="L11" s="199"/>
      <c r="M11" s="199"/>
      <c r="N11" s="199"/>
      <c r="O11" s="209">
        <v>0.05</v>
      </c>
    </row>
    <row r="12" spans="3:17" ht="12.75" hidden="1" customHeight="1" x14ac:dyDescent="0.2">
      <c r="F12" s="205"/>
      <c r="H12" s="198" t="s">
        <v>47</v>
      </c>
      <c r="I12" s="199"/>
      <c r="J12" s="199"/>
      <c r="K12" s="199"/>
      <c r="L12" s="199"/>
      <c r="M12" s="199"/>
      <c r="N12" s="199"/>
      <c r="O12" s="209">
        <v>0.05</v>
      </c>
    </row>
    <row r="13" spans="3:17" ht="12.75" hidden="1" customHeight="1" x14ac:dyDescent="0.3">
      <c r="C13" s="212"/>
      <c r="H13" s="198" t="s">
        <v>48</v>
      </c>
      <c r="I13" s="199"/>
      <c r="J13" s="199"/>
      <c r="K13" s="199"/>
      <c r="L13" s="199"/>
      <c r="M13" s="199"/>
      <c r="N13" s="199"/>
      <c r="O13" s="209">
        <v>4.8</v>
      </c>
    </row>
    <row r="14" spans="3:17" ht="12.75" hidden="1" customHeight="1" thickBot="1" x14ac:dyDescent="0.25">
      <c r="H14" s="213" t="s">
        <v>63</v>
      </c>
      <c r="I14" s="214"/>
      <c r="J14" s="214"/>
      <c r="K14" s="214"/>
      <c r="L14" s="214"/>
      <c r="M14" s="214"/>
      <c r="N14" s="214"/>
      <c r="O14" s="215">
        <f>G3*0.4</f>
        <v>1236414</v>
      </c>
      <c r="P14" s="216" t="s">
        <v>112</v>
      </c>
    </row>
    <row r="15" spans="3:17" ht="12.75" hidden="1" customHeight="1" thickBot="1" x14ac:dyDescent="0.25">
      <c r="C15" s="206"/>
    </row>
    <row r="16" spans="3:17" ht="12.75" hidden="1" customHeight="1" thickBot="1" x14ac:dyDescent="0.25">
      <c r="C16" s="795" t="s">
        <v>421</v>
      </c>
      <c r="D16" s="795"/>
      <c r="E16" s="795"/>
      <c r="F16" s="795"/>
      <c r="G16" s="795"/>
      <c r="H16" s="795"/>
      <c r="I16" s="795"/>
      <c r="J16" s="795"/>
      <c r="K16" s="795"/>
      <c r="L16" s="795"/>
      <c r="M16" s="795"/>
      <c r="N16" s="795"/>
      <c r="O16" s="795"/>
      <c r="P16" s="795"/>
    </row>
    <row r="17" spans="3:19" ht="12.75" hidden="1" customHeight="1" thickBot="1" x14ac:dyDescent="0.25">
      <c r="C17" s="217" t="s">
        <v>1</v>
      </c>
      <c r="D17" s="217" t="s">
        <v>2</v>
      </c>
      <c r="E17" s="217" t="s">
        <v>3</v>
      </c>
      <c r="F17" s="217" t="s">
        <v>4</v>
      </c>
      <c r="G17" s="217" t="s">
        <v>5</v>
      </c>
      <c r="H17" s="217" t="s">
        <v>6</v>
      </c>
      <c r="I17" s="217" t="s">
        <v>7</v>
      </c>
      <c r="J17" s="217" t="s">
        <v>8</v>
      </c>
      <c r="K17" s="217" t="s">
        <v>9</v>
      </c>
      <c r="L17" s="217" t="s">
        <v>10</v>
      </c>
      <c r="M17" s="217" t="s">
        <v>11</v>
      </c>
      <c r="N17" s="217" t="s">
        <v>12</v>
      </c>
      <c r="O17" s="218" t="s">
        <v>49</v>
      </c>
      <c r="P17" s="218" t="s">
        <v>50</v>
      </c>
      <c r="R17" s="219" t="s">
        <v>419</v>
      </c>
      <c r="S17" s="220" t="s">
        <v>420</v>
      </c>
    </row>
    <row r="18" spans="3:19" ht="12.75" hidden="1" customHeight="1" thickBot="1" x14ac:dyDescent="0.25">
      <c r="C18" s="16">
        <v>0</v>
      </c>
      <c r="D18" s="16">
        <v>0</v>
      </c>
      <c r="E18" s="16">
        <v>0</v>
      </c>
      <c r="F18" s="16">
        <v>0</v>
      </c>
      <c r="G18" s="16">
        <v>0</v>
      </c>
      <c r="H18" s="16">
        <v>0</v>
      </c>
      <c r="I18" s="16">
        <v>0</v>
      </c>
      <c r="J18" s="16">
        <v>0</v>
      </c>
      <c r="K18" s="16">
        <v>0</v>
      </c>
      <c r="L18" s="16">
        <v>0</v>
      </c>
      <c r="M18" s="16">
        <v>0</v>
      </c>
      <c r="N18" s="126">
        <f>R18*$D$9*$D$10</f>
        <v>0</v>
      </c>
      <c r="O18" s="126">
        <f>S18*$D$9*$D$10</f>
        <v>0</v>
      </c>
      <c r="P18" s="17">
        <v>0.05</v>
      </c>
      <c r="R18" s="221">
        <v>0</v>
      </c>
      <c r="S18" s="222">
        <v>0</v>
      </c>
    </row>
    <row r="19" spans="3:19" ht="12.75" hidden="1" customHeight="1" thickBot="1" x14ac:dyDescent="0.25">
      <c r="C19" s="16">
        <f t="shared" ref="C19:C26" si="1">N19/12</f>
        <v>100000</v>
      </c>
      <c r="D19" s="16">
        <f t="shared" ref="D19:M19" si="2">$C19+C19</f>
        <v>200000</v>
      </c>
      <c r="E19" s="16">
        <f t="shared" si="2"/>
        <v>300000</v>
      </c>
      <c r="F19" s="16">
        <f t="shared" si="2"/>
        <v>400000</v>
      </c>
      <c r="G19" s="16">
        <f t="shared" si="2"/>
        <v>500000</v>
      </c>
      <c r="H19" s="16">
        <f t="shared" si="2"/>
        <v>600000</v>
      </c>
      <c r="I19" s="16">
        <f t="shared" si="2"/>
        <v>700000</v>
      </c>
      <c r="J19" s="16">
        <f t="shared" si="2"/>
        <v>800000</v>
      </c>
      <c r="K19" s="16">
        <f t="shared" si="2"/>
        <v>900000</v>
      </c>
      <c r="L19" s="16">
        <f t="shared" si="2"/>
        <v>1000000</v>
      </c>
      <c r="M19" s="16">
        <f t="shared" si="2"/>
        <v>1100000</v>
      </c>
      <c r="N19" s="126">
        <f t="shared" ref="N19:N26" si="3">R19*$D$9*$D$10</f>
        <v>1200000</v>
      </c>
      <c r="O19" s="126">
        <f t="shared" ref="O19:O26" si="4">S19*$D$9*$D$10</f>
        <v>60000</v>
      </c>
      <c r="P19" s="17">
        <v>0.09</v>
      </c>
      <c r="R19" s="223">
        <v>1200000</v>
      </c>
      <c r="S19" s="200">
        <v>60000</v>
      </c>
    </row>
    <row r="20" spans="3:19" ht="12.75" hidden="1" customHeight="1" thickBot="1" x14ac:dyDescent="0.25">
      <c r="C20" s="16">
        <f t="shared" si="1"/>
        <v>200000</v>
      </c>
      <c r="D20" s="16">
        <f t="shared" ref="D20:M20" si="5">$C20+C20</f>
        <v>400000</v>
      </c>
      <c r="E20" s="16">
        <f t="shared" si="5"/>
        <v>600000</v>
      </c>
      <c r="F20" s="16">
        <f t="shared" si="5"/>
        <v>800000</v>
      </c>
      <c r="G20" s="16">
        <f t="shared" si="5"/>
        <v>1000000</v>
      </c>
      <c r="H20" s="16">
        <f t="shared" si="5"/>
        <v>1200000</v>
      </c>
      <c r="I20" s="16">
        <f t="shared" si="5"/>
        <v>1400000</v>
      </c>
      <c r="J20" s="16">
        <f t="shared" si="5"/>
        <v>1600000</v>
      </c>
      <c r="K20" s="16">
        <f t="shared" si="5"/>
        <v>1800000</v>
      </c>
      <c r="L20" s="16">
        <f t="shared" si="5"/>
        <v>2000000</v>
      </c>
      <c r="M20" s="16">
        <f t="shared" si="5"/>
        <v>2200000</v>
      </c>
      <c r="N20" s="126">
        <f t="shared" si="3"/>
        <v>2400000</v>
      </c>
      <c r="O20" s="126">
        <f t="shared" si="4"/>
        <v>168000</v>
      </c>
      <c r="P20" s="17">
        <v>0.12</v>
      </c>
      <c r="R20" s="223">
        <v>2400000</v>
      </c>
      <c r="S20" s="200">
        <v>168000</v>
      </c>
    </row>
    <row r="21" spans="3:19" ht="12.75" hidden="1" customHeight="1" thickBot="1" x14ac:dyDescent="0.25">
      <c r="C21" s="16">
        <f t="shared" si="1"/>
        <v>300000</v>
      </c>
      <c r="D21" s="16">
        <f t="shared" ref="D21:M21" si="6">$C21+C21</f>
        <v>600000</v>
      </c>
      <c r="E21" s="16">
        <f t="shared" si="6"/>
        <v>900000</v>
      </c>
      <c r="F21" s="16">
        <f t="shared" si="6"/>
        <v>1200000</v>
      </c>
      <c r="G21" s="16">
        <f t="shared" si="6"/>
        <v>1500000</v>
      </c>
      <c r="H21" s="16">
        <f t="shared" si="6"/>
        <v>1800000</v>
      </c>
      <c r="I21" s="16">
        <f t="shared" si="6"/>
        <v>2100000</v>
      </c>
      <c r="J21" s="16">
        <f t="shared" si="6"/>
        <v>2400000</v>
      </c>
      <c r="K21" s="16">
        <f t="shared" si="6"/>
        <v>2700000</v>
      </c>
      <c r="L21" s="16">
        <f t="shared" si="6"/>
        <v>3000000</v>
      </c>
      <c r="M21" s="16">
        <f t="shared" si="6"/>
        <v>3300000</v>
      </c>
      <c r="N21" s="126">
        <f t="shared" si="3"/>
        <v>3600000</v>
      </c>
      <c r="O21" s="126">
        <f t="shared" si="4"/>
        <v>312000</v>
      </c>
      <c r="P21" s="17">
        <v>0.15</v>
      </c>
      <c r="R21" s="223">
        <v>3600000</v>
      </c>
      <c r="S21" s="200">
        <v>312000</v>
      </c>
    </row>
    <row r="22" spans="3:19" ht="12.75" hidden="1" customHeight="1" thickBot="1" x14ac:dyDescent="0.25">
      <c r="C22" s="16">
        <f t="shared" si="1"/>
        <v>450000</v>
      </c>
      <c r="D22" s="16">
        <f t="shared" ref="D22:L22" si="7">$C22+C22</f>
        <v>900000</v>
      </c>
      <c r="E22" s="16">
        <f t="shared" si="7"/>
        <v>1350000</v>
      </c>
      <c r="F22" s="16">
        <f t="shared" si="7"/>
        <v>1800000</v>
      </c>
      <c r="G22" s="16">
        <f t="shared" si="7"/>
        <v>2250000</v>
      </c>
      <c r="H22" s="16">
        <f t="shared" si="7"/>
        <v>2700000</v>
      </c>
      <c r="I22" s="16">
        <f t="shared" si="7"/>
        <v>3150000</v>
      </c>
      <c r="J22" s="16">
        <f t="shared" si="7"/>
        <v>3600000</v>
      </c>
      <c r="K22" s="16">
        <f t="shared" si="7"/>
        <v>4050000</v>
      </c>
      <c r="L22" s="16">
        <f t="shared" si="7"/>
        <v>4500000</v>
      </c>
      <c r="M22" s="16">
        <f>$C22+L22</f>
        <v>4950000</v>
      </c>
      <c r="N22" s="126">
        <f t="shared" si="3"/>
        <v>5400000</v>
      </c>
      <c r="O22" s="126">
        <f t="shared" si="4"/>
        <v>582000</v>
      </c>
      <c r="P22" s="17">
        <v>0.19</v>
      </c>
      <c r="R22" s="223">
        <v>5400000</v>
      </c>
      <c r="S22" s="200">
        <v>582000</v>
      </c>
    </row>
    <row r="23" spans="3:19" ht="12.75" hidden="1" customHeight="1" thickBot="1" x14ac:dyDescent="0.25">
      <c r="C23" s="16">
        <f t="shared" si="1"/>
        <v>900000</v>
      </c>
      <c r="D23" s="16">
        <f t="shared" ref="D23:M23" si="8">$C23+C23</f>
        <v>1800000</v>
      </c>
      <c r="E23" s="16">
        <f t="shared" si="8"/>
        <v>2700000</v>
      </c>
      <c r="F23" s="16">
        <f>$C23+E23</f>
        <v>3600000</v>
      </c>
      <c r="G23" s="16">
        <f>$C23+F23</f>
        <v>4500000</v>
      </c>
      <c r="H23" s="16">
        <f t="shared" si="8"/>
        <v>5400000</v>
      </c>
      <c r="I23" s="16">
        <f t="shared" si="8"/>
        <v>6300000</v>
      </c>
      <c r="J23" s="16">
        <f t="shared" si="8"/>
        <v>7200000</v>
      </c>
      <c r="K23" s="16">
        <f t="shared" si="8"/>
        <v>8100000</v>
      </c>
      <c r="L23" s="16">
        <f t="shared" si="8"/>
        <v>9000000</v>
      </c>
      <c r="M23" s="16">
        <f t="shared" si="8"/>
        <v>9900000</v>
      </c>
      <c r="N23" s="126">
        <f t="shared" si="3"/>
        <v>10800000</v>
      </c>
      <c r="O23" s="126">
        <f t="shared" si="4"/>
        <v>1608000</v>
      </c>
      <c r="P23" s="17">
        <v>0.23</v>
      </c>
      <c r="R23" s="223">
        <v>10800000</v>
      </c>
      <c r="S23" s="200">
        <v>1608000</v>
      </c>
    </row>
    <row r="24" spans="3:19" ht="12.75" hidden="1" customHeight="1" thickBot="1" x14ac:dyDescent="0.25">
      <c r="C24" s="16">
        <f t="shared" si="1"/>
        <v>1350000</v>
      </c>
      <c r="D24" s="16">
        <f t="shared" ref="D24:M24" si="9">$C24+C24</f>
        <v>2700000</v>
      </c>
      <c r="E24" s="16">
        <f t="shared" si="9"/>
        <v>4050000</v>
      </c>
      <c r="F24" s="16">
        <f t="shared" si="9"/>
        <v>5400000</v>
      </c>
      <c r="G24" s="16">
        <f t="shared" si="9"/>
        <v>6750000</v>
      </c>
      <c r="H24" s="16">
        <f t="shared" si="9"/>
        <v>8100000</v>
      </c>
      <c r="I24" s="16">
        <f t="shared" si="9"/>
        <v>9450000</v>
      </c>
      <c r="J24" s="16">
        <f t="shared" si="9"/>
        <v>10800000</v>
      </c>
      <c r="K24" s="16">
        <f t="shared" si="9"/>
        <v>12150000</v>
      </c>
      <c r="L24" s="16">
        <f t="shared" si="9"/>
        <v>13500000</v>
      </c>
      <c r="M24" s="16">
        <f t="shared" si="9"/>
        <v>14850000</v>
      </c>
      <c r="N24" s="126">
        <f t="shared" si="3"/>
        <v>16200000</v>
      </c>
      <c r="O24" s="126">
        <f t="shared" si="4"/>
        <v>2850000</v>
      </c>
      <c r="P24" s="17">
        <v>0.27</v>
      </c>
      <c r="R24" s="223">
        <v>16200000</v>
      </c>
      <c r="S24" s="200">
        <v>2850000</v>
      </c>
    </row>
    <row r="25" spans="3:19" ht="12.75" hidden="1" customHeight="1" thickBot="1" x14ac:dyDescent="0.25">
      <c r="C25" s="16">
        <f t="shared" si="1"/>
        <v>2025000</v>
      </c>
      <c r="D25" s="16">
        <f t="shared" ref="D25:M25" si="10">$C25+C25</f>
        <v>4050000</v>
      </c>
      <c r="E25" s="16">
        <f t="shared" si="10"/>
        <v>6075000</v>
      </c>
      <c r="F25" s="16">
        <f t="shared" si="10"/>
        <v>8100000</v>
      </c>
      <c r="G25" s="16">
        <f t="shared" si="10"/>
        <v>10125000</v>
      </c>
      <c r="H25" s="16">
        <f t="shared" si="10"/>
        <v>12150000</v>
      </c>
      <c r="I25" s="16">
        <f t="shared" si="10"/>
        <v>14175000</v>
      </c>
      <c r="J25" s="16">
        <f t="shared" si="10"/>
        <v>16200000</v>
      </c>
      <c r="K25" s="16">
        <f t="shared" si="10"/>
        <v>18225000</v>
      </c>
      <c r="L25" s="16">
        <f t="shared" si="10"/>
        <v>20250000</v>
      </c>
      <c r="M25" s="16">
        <f t="shared" si="10"/>
        <v>22275000</v>
      </c>
      <c r="N25" s="126">
        <f t="shared" si="3"/>
        <v>24300000</v>
      </c>
      <c r="O25" s="126">
        <f t="shared" si="4"/>
        <v>5037000</v>
      </c>
      <c r="P25" s="17">
        <v>0.31</v>
      </c>
      <c r="R25" s="223">
        <v>24300000</v>
      </c>
      <c r="S25" s="200">
        <v>5037000</v>
      </c>
    </row>
    <row r="26" spans="3:19" ht="12.75" hidden="1" customHeight="1" thickBot="1" x14ac:dyDescent="0.25">
      <c r="C26" s="16">
        <f t="shared" si="1"/>
        <v>3037500</v>
      </c>
      <c r="D26" s="16">
        <f t="shared" ref="D26:M26" si="11">$C26+C26</f>
        <v>6075000</v>
      </c>
      <c r="E26" s="16">
        <f t="shared" si="11"/>
        <v>9112500</v>
      </c>
      <c r="F26" s="16">
        <f t="shared" si="11"/>
        <v>12150000</v>
      </c>
      <c r="G26" s="16">
        <f t="shared" si="11"/>
        <v>15187500</v>
      </c>
      <c r="H26" s="16">
        <f t="shared" si="11"/>
        <v>18225000</v>
      </c>
      <c r="I26" s="16">
        <f t="shared" si="11"/>
        <v>21262500</v>
      </c>
      <c r="J26" s="16">
        <f t="shared" si="11"/>
        <v>24300000</v>
      </c>
      <c r="K26" s="16">
        <f t="shared" si="11"/>
        <v>27337500</v>
      </c>
      <c r="L26" s="16">
        <f t="shared" si="11"/>
        <v>30375000</v>
      </c>
      <c r="M26" s="16">
        <f t="shared" si="11"/>
        <v>33412500</v>
      </c>
      <c r="N26" s="126">
        <f t="shared" si="3"/>
        <v>36450000</v>
      </c>
      <c r="O26" s="126">
        <f t="shared" si="4"/>
        <v>8803500</v>
      </c>
      <c r="P26" s="17">
        <v>0.35</v>
      </c>
      <c r="R26" s="224">
        <v>36450000</v>
      </c>
      <c r="S26" s="225">
        <v>8803500</v>
      </c>
    </row>
    <row r="27" spans="3:19" ht="12.75" hidden="1" customHeight="1" x14ac:dyDescent="0.2"/>
    <row r="28" spans="3:19" ht="12.75" hidden="1" customHeight="1" x14ac:dyDescent="0.2">
      <c r="D28" s="226" t="s">
        <v>369</v>
      </c>
    </row>
    <row r="29" spans="3:19" ht="12.75" hidden="1" customHeight="1" x14ac:dyDescent="0.2">
      <c r="D29" s="226" t="s">
        <v>51</v>
      </c>
    </row>
    <row r="30" spans="3:19" ht="13.5" thickBot="1" x14ac:dyDescent="0.25"/>
    <row r="31" spans="3:19" ht="15.6" customHeight="1" thickBot="1" x14ac:dyDescent="0.25">
      <c r="C31" s="791" t="s">
        <v>446</v>
      </c>
      <c r="D31" s="792"/>
      <c r="E31" s="792"/>
      <c r="F31" s="792"/>
      <c r="G31" s="792"/>
      <c r="H31" s="792"/>
      <c r="I31" s="792"/>
      <c r="J31" s="792"/>
      <c r="K31" s="792"/>
      <c r="L31" s="792"/>
      <c r="M31" s="792"/>
      <c r="N31" s="792"/>
      <c r="O31" s="793"/>
    </row>
    <row r="32" spans="3:19" ht="12.75" customHeight="1" x14ac:dyDescent="0.2">
      <c r="C32" s="184" t="s">
        <v>52</v>
      </c>
      <c r="D32" s="25">
        <v>45474</v>
      </c>
      <c r="E32" s="182">
        <v>44228</v>
      </c>
      <c r="F32" s="182">
        <v>44256</v>
      </c>
      <c r="G32" s="182">
        <v>44287</v>
      </c>
      <c r="H32" s="182">
        <v>44317</v>
      </c>
      <c r="I32" s="182">
        <v>44348</v>
      </c>
      <c r="J32" s="182">
        <v>44378</v>
      </c>
      <c r="K32" s="182">
        <v>44409</v>
      </c>
      <c r="L32" s="182">
        <v>44440</v>
      </c>
      <c r="M32" s="182">
        <v>44470</v>
      </c>
      <c r="N32" s="182">
        <v>44501</v>
      </c>
      <c r="O32" s="183">
        <v>44531</v>
      </c>
    </row>
    <row r="33" spans="3:15" ht="12.75" customHeight="1" thickBot="1" x14ac:dyDescent="0.25">
      <c r="C33" s="181" t="s">
        <v>54</v>
      </c>
      <c r="D33" s="147">
        <v>2360165.23</v>
      </c>
      <c r="E33" s="179">
        <f>+$D$33</f>
        <v>2360165.23</v>
      </c>
      <c r="F33" s="179">
        <f t="shared" ref="F33:O33" si="12">+$D$33</f>
        <v>2360165.23</v>
      </c>
      <c r="G33" s="179">
        <f t="shared" si="12"/>
        <v>2360165.23</v>
      </c>
      <c r="H33" s="179">
        <f t="shared" si="12"/>
        <v>2360165.23</v>
      </c>
      <c r="I33" s="179">
        <f t="shared" si="12"/>
        <v>2360165.23</v>
      </c>
      <c r="J33" s="179">
        <f t="shared" si="12"/>
        <v>2360165.23</v>
      </c>
      <c r="K33" s="179">
        <f t="shared" si="12"/>
        <v>2360165.23</v>
      </c>
      <c r="L33" s="179">
        <f t="shared" si="12"/>
        <v>2360165.23</v>
      </c>
      <c r="M33" s="179">
        <f t="shared" si="12"/>
        <v>2360165.23</v>
      </c>
      <c r="N33" s="179">
        <f t="shared" si="12"/>
        <v>2360165.23</v>
      </c>
      <c r="O33" s="180">
        <f t="shared" si="12"/>
        <v>2360165.23</v>
      </c>
    </row>
    <row r="34" spans="3:15" ht="12.75" hidden="1" customHeight="1" x14ac:dyDescent="0.2">
      <c r="C34" s="162" t="s">
        <v>60</v>
      </c>
      <c r="D34" s="163">
        <v>974515.89</v>
      </c>
      <c r="E34" s="164">
        <f>+D34</f>
        <v>974515.89</v>
      </c>
      <c r="F34" s="164">
        <f t="shared" ref="F34:O34" si="13">+E34</f>
        <v>974515.89</v>
      </c>
      <c r="G34" s="164">
        <f t="shared" si="13"/>
        <v>974515.89</v>
      </c>
      <c r="H34" s="164">
        <f>+G34</f>
        <v>974515.89</v>
      </c>
      <c r="I34" s="164">
        <f t="shared" si="13"/>
        <v>974515.89</v>
      </c>
      <c r="J34" s="164">
        <f t="shared" si="13"/>
        <v>974515.89</v>
      </c>
      <c r="K34" s="164">
        <f>+J34</f>
        <v>974515.89</v>
      </c>
      <c r="L34" s="164">
        <f t="shared" si="13"/>
        <v>974515.89</v>
      </c>
      <c r="M34" s="164">
        <f>+L34</f>
        <v>974515.89</v>
      </c>
      <c r="N34" s="164">
        <f t="shared" si="13"/>
        <v>974515.89</v>
      </c>
      <c r="O34" s="165">
        <f t="shared" si="13"/>
        <v>974515.89</v>
      </c>
    </row>
    <row r="35" spans="3:15" s="166" customFormat="1" ht="12.75" hidden="1" customHeight="1" x14ac:dyDescent="0.2">
      <c r="C35" s="167" t="s">
        <v>59</v>
      </c>
      <c r="D35" s="168"/>
      <c r="E35" s="168"/>
      <c r="F35" s="168"/>
      <c r="G35" s="168"/>
      <c r="H35" s="168"/>
      <c r="I35" s="168">
        <v>0</v>
      </c>
      <c r="J35" s="168"/>
      <c r="K35" s="168"/>
      <c r="L35" s="168"/>
      <c r="M35" s="168"/>
      <c r="N35" s="168"/>
      <c r="O35" s="169">
        <v>0</v>
      </c>
    </row>
    <row r="36" spans="3:15" s="166" customFormat="1" ht="12.75" hidden="1" customHeight="1" thickBot="1" x14ac:dyDescent="0.25">
      <c r="C36" s="170" t="s">
        <v>68</v>
      </c>
      <c r="D36" s="171">
        <v>0</v>
      </c>
      <c r="E36" s="172">
        <f>D36</f>
        <v>0</v>
      </c>
      <c r="F36" s="172">
        <f t="shared" ref="F36:O36" si="14">E36</f>
        <v>0</v>
      </c>
      <c r="G36" s="171">
        <f>F36*D9</f>
        <v>0</v>
      </c>
      <c r="H36" s="172">
        <f t="shared" si="14"/>
        <v>0</v>
      </c>
      <c r="I36" s="172">
        <f t="shared" si="14"/>
        <v>0</v>
      </c>
      <c r="J36" s="171">
        <f>I36*D10</f>
        <v>0</v>
      </c>
      <c r="K36" s="172">
        <f t="shared" si="14"/>
        <v>0</v>
      </c>
      <c r="L36" s="172">
        <f t="shared" si="14"/>
        <v>0</v>
      </c>
      <c r="M36" s="171">
        <f>L36*D11</f>
        <v>0</v>
      </c>
      <c r="N36" s="172">
        <f t="shared" si="14"/>
        <v>0</v>
      </c>
      <c r="O36" s="173">
        <f t="shared" si="14"/>
        <v>0</v>
      </c>
    </row>
    <row r="37" spans="3:15" ht="12.75" customHeight="1" x14ac:dyDescent="0.2"/>
    <row r="38" spans="3:15" ht="12.75" customHeight="1" thickBot="1" x14ac:dyDescent="0.25">
      <c r="C38" s="29" t="s">
        <v>317</v>
      </c>
      <c r="O38" s="111"/>
    </row>
    <row r="39" spans="3:15" ht="12.75" customHeight="1" thickBot="1" x14ac:dyDescent="0.25">
      <c r="C39" s="174" t="s">
        <v>52</v>
      </c>
      <c r="D39" s="175" t="s">
        <v>50</v>
      </c>
      <c r="E39" s="176">
        <v>44228</v>
      </c>
      <c r="F39" s="177">
        <v>44256</v>
      </c>
      <c r="G39" s="177">
        <v>44287</v>
      </c>
      <c r="H39" s="177">
        <v>44317</v>
      </c>
      <c r="I39" s="177">
        <v>44348</v>
      </c>
      <c r="J39" s="177">
        <v>44378</v>
      </c>
      <c r="K39" s="177">
        <v>44409</v>
      </c>
      <c r="L39" s="177">
        <v>44440</v>
      </c>
      <c r="M39" s="177">
        <v>44470</v>
      </c>
      <c r="N39" s="177">
        <v>44501</v>
      </c>
      <c r="O39" s="178">
        <v>44531</v>
      </c>
    </row>
    <row r="40" spans="3:15" ht="12.75" customHeight="1" x14ac:dyDescent="0.2">
      <c r="C40" s="161" t="str">
        <f>+'CALCULADORA MES'!A86</f>
        <v>Jubilacion</v>
      </c>
      <c r="D40" s="150">
        <v>0.11</v>
      </c>
      <c r="E40" s="157">
        <f>+D40</f>
        <v>0.11</v>
      </c>
      <c r="F40" s="158">
        <f t="shared" ref="F40:O40" si="15">+E40</f>
        <v>0.11</v>
      </c>
      <c r="G40" s="158">
        <f t="shared" si="15"/>
        <v>0.11</v>
      </c>
      <c r="H40" s="158">
        <f t="shared" si="15"/>
        <v>0.11</v>
      </c>
      <c r="I40" s="158">
        <f t="shared" si="15"/>
        <v>0.11</v>
      </c>
      <c r="J40" s="158">
        <f t="shared" si="15"/>
        <v>0.11</v>
      </c>
      <c r="K40" s="158">
        <f t="shared" si="15"/>
        <v>0.11</v>
      </c>
      <c r="L40" s="158">
        <f t="shared" si="15"/>
        <v>0.11</v>
      </c>
      <c r="M40" s="158">
        <f t="shared" si="15"/>
        <v>0.11</v>
      </c>
      <c r="N40" s="158">
        <f t="shared" si="15"/>
        <v>0.11</v>
      </c>
      <c r="O40" s="159">
        <f t="shared" si="15"/>
        <v>0.11</v>
      </c>
    </row>
    <row r="41" spans="3:15" ht="12.75" customHeight="1" x14ac:dyDescent="0.2">
      <c r="C41" s="160" t="str">
        <f>+'CALCULADORA MES'!A87</f>
        <v>INSSJP</v>
      </c>
      <c r="D41" s="148">
        <v>0.03</v>
      </c>
      <c r="E41" s="157">
        <f t="shared" ref="E41:O43" si="16">+D41</f>
        <v>0.03</v>
      </c>
      <c r="F41" s="158">
        <f t="shared" si="16"/>
        <v>0.03</v>
      </c>
      <c r="G41" s="158">
        <f t="shared" si="16"/>
        <v>0.03</v>
      </c>
      <c r="H41" s="158">
        <f t="shared" si="16"/>
        <v>0.03</v>
      </c>
      <c r="I41" s="158">
        <f t="shared" si="16"/>
        <v>0.03</v>
      </c>
      <c r="J41" s="158">
        <f t="shared" si="16"/>
        <v>0.03</v>
      </c>
      <c r="K41" s="158">
        <f t="shared" si="16"/>
        <v>0.03</v>
      </c>
      <c r="L41" s="158">
        <f t="shared" si="16"/>
        <v>0.03</v>
      </c>
      <c r="M41" s="158">
        <f t="shared" si="16"/>
        <v>0.03</v>
      </c>
      <c r="N41" s="158">
        <f t="shared" si="16"/>
        <v>0.03</v>
      </c>
      <c r="O41" s="159">
        <f t="shared" si="16"/>
        <v>0.03</v>
      </c>
    </row>
    <row r="42" spans="3:15" ht="12.75" customHeight="1" x14ac:dyDescent="0.2">
      <c r="C42" s="160" t="str">
        <f>+'CALCULADORA MES'!A88</f>
        <v>Obra Social</v>
      </c>
      <c r="D42" s="148">
        <v>0.03</v>
      </c>
      <c r="E42" s="157">
        <f t="shared" si="16"/>
        <v>0.03</v>
      </c>
      <c r="F42" s="158">
        <f t="shared" si="16"/>
        <v>0.03</v>
      </c>
      <c r="G42" s="158">
        <f t="shared" si="16"/>
        <v>0.03</v>
      </c>
      <c r="H42" s="158">
        <f t="shared" si="16"/>
        <v>0.03</v>
      </c>
      <c r="I42" s="158">
        <f t="shared" si="16"/>
        <v>0.03</v>
      </c>
      <c r="J42" s="158">
        <f t="shared" si="16"/>
        <v>0.03</v>
      </c>
      <c r="K42" s="158">
        <f t="shared" si="16"/>
        <v>0.03</v>
      </c>
      <c r="L42" s="158">
        <f t="shared" si="16"/>
        <v>0.03</v>
      </c>
      <c r="M42" s="158">
        <f t="shared" si="16"/>
        <v>0.03</v>
      </c>
      <c r="N42" s="158">
        <f t="shared" si="16"/>
        <v>0.03</v>
      </c>
      <c r="O42" s="159">
        <f t="shared" si="16"/>
        <v>0.03</v>
      </c>
    </row>
    <row r="43" spans="3:15" ht="12.75" customHeight="1" thickBot="1" x14ac:dyDescent="0.25">
      <c r="C43" s="149" t="str">
        <f>+'CALCULADORA MES'!A89</f>
        <v>Sindicato</v>
      </c>
      <c r="D43" s="151">
        <v>0</v>
      </c>
      <c r="E43" s="157">
        <f t="shared" si="16"/>
        <v>0</v>
      </c>
      <c r="F43" s="158">
        <f t="shared" si="16"/>
        <v>0</v>
      </c>
      <c r="G43" s="158">
        <f t="shared" si="16"/>
        <v>0</v>
      </c>
      <c r="H43" s="158">
        <f t="shared" si="16"/>
        <v>0</v>
      </c>
      <c r="I43" s="158">
        <f t="shared" si="16"/>
        <v>0</v>
      </c>
      <c r="J43" s="158">
        <f t="shared" si="16"/>
        <v>0</v>
      </c>
      <c r="K43" s="158">
        <f t="shared" si="16"/>
        <v>0</v>
      </c>
      <c r="L43" s="158">
        <f t="shared" si="16"/>
        <v>0</v>
      </c>
      <c r="M43" s="158">
        <f t="shared" si="16"/>
        <v>0</v>
      </c>
      <c r="N43" s="158">
        <f t="shared" si="16"/>
        <v>0</v>
      </c>
      <c r="O43" s="159">
        <f t="shared" si="16"/>
        <v>0</v>
      </c>
    </row>
    <row r="44" spans="3:15" ht="12.75" customHeight="1" thickBot="1" x14ac:dyDescent="0.25">
      <c r="C44" s="152" t="s">
        <v>318</v>
      </c>
      <c r="D44" s="153">
        <f>SUM(D40:D43)</f>
        <v>0.17</v>
      </c>
      <c r="E44" s="154">
        <f t="shared" ref="E44:O44" si="17">SUM(E40:E43)</f>
        <v>0.17</v>
      </c>
      <c r="F44" s="155">
        <f t="shared" si="17"/>
        <v>0.17</v>
      </c>
      <c r="G44" s="155">
        <f t="shared" si="17"/>
        <v>0.17</v>
      </c>
      <c r="H44" s="155">
        <f t="shared" si="17"/>
        <v>0.17</v>
      </c>
      <c r="I44" s="155">
        <f t="shared" si="17"/>
        <v>0.17</v>
      </c>
      <c r="J44" s="155">
        <f t="shared" si="17"/>
        <v>0.17</v>
      </c>
      <c r="K44" s="155">
        <f t="shared" si="17"/>
        <v>0.17</v>
      </c>
      <c r="L44" s="155">
        <f t="shared" si="17"/>
        <v>0.17</v>
      </c>
      <c r="M44" s="155">
        <f t="shared" si="17"/>
        <v>0.17</v>
      </c>
      <c r="N44" s="155">
        <f t="shared" si="17"/>
        <v>0.17</v>
      </c>
      <c r="O44" s="156">
        <f t="shared" si="17"/>
        <v>0.17</v>
      </c>
    </row>
    <row r="45" spans="3:15" ht="12.75" customHeight="1" x14ac:dyDescent="0.2"/>
    <row r="46" spans="3:15" ht="12.75" customHeight="1" x14ac:dyDescent="0.2"/>
    <row r="47" spans="3:15" ht="12.75" customHeight="1" x14ac:dyDescent="0.2"/>
    <row r="48" spans="3:15" ht="12.75" customHeight="1" x14ac:dyDescent="0.2"/>
    <row r="49" s="29" customFormat="1" ht="12.75" customHeight="1" x14ac:dyDescent="0.2"/>
    <row r="50" s="29" customFormat="1" ht="12.75" customHeight="1" x14ac:dyDescent="0.2"/>
    <row r="51" s="29" customFormat="1" ht="12.75" customHeight="1" x14ac:dyDescent="0.2"/>
    <row r="52" s="29" customFormat="1" ht="12.75" customHeight="1" x14ac:dyDescent="0.2"/>
    <row r="53" s="29" customFormat="1" ht="12.75" customHeight="1" x14ac:dyDescent="0.2"/>
    <row r="54" s="29" customFormat="1" ht="12.75" customHeight="1" x14ac:dyDescent="0.2"/>
    <row r="55" s="29" customFormat="1" ht="12.75" customHeight="1" x14ac:dyDescent="0.2"/>
    <row r="56" s="29" customFormat="1" ht="12.75" customHeight="1" x14ac:dyDescent="0.2"/>
    <row r="57" s="29" customFormat="1" ht="12.75" customHeight="1" x14ac:dyDescent="0.2"/>
    <row r="58" s="29" customFormat="1" ht="12.75" customHeight="1" x14ac:dyDescent="0.2"/>
    <row r="59" s="29" customFormat="1" ht="12.75" customHeight="1" x14ac:dyDescent="0.2"/>
    <row r="60" s="29" customFormat="1" ht="12.75" customHeight="1" x14ac:dyDescent="0.2"/>
    <row r="61" s="29" customFormat="1" ht="12.75" customHeight="1" x14ac:dyDescent="0.2"/>
    <row r="62" s="29" customFormat="1" ht="12.75" customHeight="1" x14ac:dyDescent="0.2"/>
    <row r="63" s="29" customFormat="1" ht="12.75" customHeight="1" x14ac:dyDescent="0.2"/>
    <row r="64" s="29" customFormat="1" ht="12.75" customHeight="1" x14ac:dyDescent="0.2"/>
    <row r="65" s="29" customFormat="1" ht="12.75" customHeight="1" x14ac:dyDescent="0.2"/>
    <row r="66" s="29" customFormat="1" ht="12.75" customHeight="1" x14ac:dyDescent="0.2"/>
    <row r="67" s="29" customFormat="1" ht="12.75" customHeight="1" x14ac:dyDescent="0.2"/>
    <row r="68" s="29" customFormat="1" ht="12.75" customHeight="1" x14ac:dyDescent="0.2"/>
    <row r="69" s="29" customFormat="1" ht="12.75" customHeight="1" x14ac:dyDescent="0.2"/>
    <row r="70" s="29" customFormat="1" ht="12.75" customHeight="1" x14ac:dyDescent="0.2"/>
    <row r="71" s="29" customFormat="1" ht="12.75" customHeight="1" x14ac:dyDescent="0.2"/>
    <row r="72" s="29" customFormat="1" ht="12.75" customHeight="1" x14ac:dyDescent="0.2"/>
    <row r="73" s="29" customFormat="1" ht="12.75" customHeight="1" x14ac:dyDescent="0.2"/>
    <row r="74" s="29" customFormat="1" ht="12.75" customHeight="1" x14ac:dyDescent="0.2"/>
    <row r="75" s="29" customFormat="1" ht="12.75" customHeight="1" x14ac:dyDescent="0.2"/>
    <row r="76" s="29" customFormat="1" ht="12.75" customHeight="1" x14ac:dyDescent="0.2"/>
    <row r="77" s="29" customFormat="1" ht="12.75" customHeight="1" x14ac:dyDescent="0.2"/>
    <row r="78" s="29" customFormat="1" ht="12.75" customHeight="1" x14ac:dyDescent="0.2"/>
    <row r="79" s="29" customFormat="1" ht="12.75" customHeight="1" x14ac:dyDescent="0.2"/>
    <row r="80" s="29" customFormat="1" ht="12.75" customHeight="1" x14ac:dyDescent="0.2"/>
    <row r="81" s="29" customFormat="1" ht="12.75" customHeight="1" x14ac:dyDescent="0.2"/>
    <row r="82" s="29" customFormat="1" ht="12.75" customHeight="1" x14ac:dyDescent="0.2"/>
    <row r="83" s="29" customFormat="1" ht="12.75" customHeight="1" x14ac:dyDescent="0.2"/>
    <row r="84" s="29" customFormat="1" ht="12.75" customHeight="1" x14ac:dyDescent="0.2"/>
    <row r="85" s="29" customFormat="1" ht="12.75" customHeight="1" x14ac:dyDescent="0.2"/>
    <row r="86" s="29" customFormat="1" ht="12.75" customHeight="1" x14ac:dyDescent="0.2"/>
    <row r="87" s="29" customFormat="1" ht="12.75" customHeight="1" x14ac:dyDescent="0.2"/>
    <row r="88" s="29" customFormat="1" ht="12.75" customHeight="1" x14ac:dyDescent="0.2"/>
    <row r="89" s="29" customFormat="1" ht="12.75" customHeight="1" x14ac:dyDescent="0.2"/>
    <row r="90" s="29" customFormat="1" ht="12.75" customHeight="1" x14ac:dyDescent="0.2"/>
    <row r="91" s="29" customFormat="1" ht="12.75" customHeight="1" x14ac:dyDescent="0.2"/>
    <row r="92" s="29" customFormat="1" ht="12.75" customHeight="1" x14ac:dyDescent="0.2"/>
    <row r="93" s="29" customFormat="1" ht="12.75" customHeight="1" x14ac:dyDescent="0.2"/>
    <row r="94" s="29" customFormat="1" ht="12.75" customHeight="1" x14ac:dyDescent="0.2"/>
    <row r="95" s="29" customFormat="1" ht="12.75" customHeight="1" x14ac:dyDescent="0.2"/>
    <row r="96" s="29" customFormat="1" ht="12.75" customHeight="1" x14ac:dyDescent="0.2"/>
    <row r="97" s="29" customFormat="1" ht="12.75" customHeight="1" x14ac:dyDescent="0.2"/>
    <row r="98" s="29" customFormat="1" ht="12.75" customHeight="1" x14ac:dyDescent="0.2"/>
    <row r="99" s="29" customFormat="1" ht="12.75" customHeight="1" x14ac:dyDescent="0.2"/>
    <row r="100" s="29" customFormat="1" ht="12.75" customHeight="1" x14ac:dyDescent="0.2"/>
    <row r="101" s="29" customFormat="1" ht="12.75" customHeight="1" x14ac:dyDescent="0.2"/>
    <row r="102" s="29" customFormat="1" ht="12.75" customHeight="1" x14ac:dyDescent="0.2"/>
    <row r="103" s="29" customFormat="1" ht="12.75" customHeight="1" x14ac:dyDescent="0.2"/>
    <row r="104" s="29" customFormat="1" ht="12.75" customHeight="1" x14ac:dyDescent="0.2"/>
    <row r="105" s="29" customFormat="1" ht="12.75" customHeight="1" x14ac:dyDescent="0.2"/>
    <row r="106" s="29" customFormat="1" ht="12.75" customHeight="1" x14ac:dyDescent="0.2"/>
    <row r="107" s="29" customFormat="1" ht="12.75" customHeight="1" x14ac:dyDescent="0.2"/>
    <row r="108" s="29" customFormat="1" ht="12.75" customHeight="1" x14ac:dyDescent="0.2"/>
    <row r="109" s="29" customFormat="1" ht="12.75" customHeight="1" x14ac:dyDescent="0.2"/>
    <row r="110" s="29" customFormat="1" ht="12.75" customHeight="1" x14ac:dyDescent="0.2"/>
    <row r="111" s="29" customFormat="1" ht="12.75" customHeight="1" x14ac:dyDescent="0.2"/>
    <row r="112" s="29" customFormat="1" ht="12.75" customHeight="1" x14ac:dyDescent="0.2"/>
    <row r="113" s="29" customFormat="1" ht="12.75" customHeight="1" x14ac:dyDescent="0.2"/>
    <row r="114" s="29" customFormat="1" ht="12.75" customHeight="1" x14ac:dyDescent="0.2"/>
    <row r="115" s="29" customFormat="1" ht="12.75" customHeight="1" x14ac:dyDescent="0.2"/>
    <row r="116" s="29" customFormat="1" ht="12.75" customHeight="1" x14ac:dyDescent="0.2"/>
    <row r="117" s="29" customFormat="1" ht="12.75" customHeight="1" x14ac:dyDescent="0.2"/>
    <row r="118" s="29" customFormat="1" ht="12.75" customHeight="1" x14ac:dyDescent="0.2"/>
    <row r="119" s="29" customFormat="1" ht="12.75" customHeight="1" x14ac:dyDescent="0.2"/>
    <row r="120" s="29" customFormat="1" ht="12.75" customHeight="1" x14ac:dyDescent="0.2"/>
    <row r="121" s="29" customFormat="1" ht="12.75" customHeight="1" x14ac:dyDescent="0.2"/>
    <row r="122" s="29" customFormat="1" ht="12.75" customHeight="1" x14ac:dyDescent="0.2"/>
    <row r="123" s="29" customFormat="1" ht="12.75" customHeight="1" x14ac:dyDescent="0.2"/>
    <row r="124" s="29" customFormat="1" ht="12.75" customHeight="1" x14ac:dyDescent="0.2"/>
    <row r="125" s="29" customFormat="1" ht="12.75" customHeight="1" x14ac:dyDescent="0.2"/>
    <row r="126" s="29" customFormat="1" ht="12.75" customHeight="1" x14ac:dyDescent="0.2"/>
    <row r="127" s="29" customFormat="1" ht="12.75" customHeight="1" x14ac:dyDescent="0.2"/>
    <row r="128" s="29" customFormat="1" ht="12.75" customHeight="1" x14ac:dyDescent="0.2"/>
    <row r="129" s="29" customFormat="1" ht="12.75" customHeight="1" x14ac:dyDescent="0.2"/>
    <row r="130" s="29" customFormat="1" ht="12.75" customHeight="1" x14ac:dyDescent="0.2"/>
    <row r="131" s="29" customFormat="1" ht="12.75" customHeight="1" x14ac:dyDescent="0.2"/>
    <row r="132" s="29" customFormat="1" ht="12.75" customHeight="1" x14ac:dyDescent="0.2"/>
    <row r="133" s="29" customFormat="1" ht="12.75" customHeight="1" x14ac:dyDescent="0.2"/>
    <row r="134" s="29" customFormat="1" ht="12.75" customHeight="1" x14ac:dyDescent="0.2"/>
    <row r="135" s="29" customFormat="1" ht="12.75" customHeight="1" x14ac:dyDescent="0.2"/>
    <row r="136" s="29" customFormat="1" ht="12.75" customHeight="1" x14ac:dyDescent="0.2"/>
    <row r="137" s="29" customFormat="1" ht="12.75" customHeight="1" x14ac:dyDescent="0.2"/>
    <row r="138" s="29" customFormat="1" ht="12.75" customHeight="1" x14ac:dyDescent="0.2"/>
    <row r="139" s="29" customFormat="1" ht="12.75" customHeight="1" x14ac:dyDescent="0.2"/>
    <row r="140" s="29" customFormat="1" ht="12.75" customHeight="1" x14ac:dyDescent="0.2"/>
    <row r="141" s="29" customFormat="1" ht="12.75" customHeight="1" x14ac:dyDescent="0.2"/>
    <row r="142" s="29" customFormat="1" ht="12.75" customHeight="1" x14ac:dyDescent="0.2"/>
    <row r="143" s="29" customFormat="1" ht="12.75" customHeight="1" x14ac:dyDescent="0.2"/>
    <row r="144" s="29" customFormat="1" ht="12.75" customHeight="1" x14ac:dyDescent="0.2"/>
    <row r="145" s="29" customFormat="1" ht="12.75" customHeight="1" x14ac:dyDescent="0.2"/>
    <row r="146" s="29" customFormat="1" ht="12.75" customHeight="1" x14ac:dyDescent="0.2"/>
    <row r="147" s="29" customFormat="1" ht="12.75" customHeight="1" x14ac:dyDescent="0.2"/>
    <row r="148" s="29" customFormat="1" ht="12.75" customHeight="1" x14ac:dyDescent="0.2"/>
    <row r="149" s="29" customFormat="1" ht="12.75" customHeight="1" x14ac:dyDescent="0.2"/>
    <row r="150" s="29" customFormat="1" ht="12.75" customHeight="1" x14ac:dyDescent="0.2"/>
    <row r="151" s="29" customFormat="1" ht="12.75" customHeight="1" x14ac:dyDescent="0.2"/>
    <row r="152" s="29" customFormat="1" ht="12.75" customHeight="1" x14ac:dyDescent="0.2"/>
    <row r="153" s="29" customFormat="1" ht="12.75" customHeight="1" x14ac:dyDescent="0.2"/>
    <row r="154" s="29" customFormat="1" ht="12.75" customHeight="1" x14ac:dyDescent="0.2"/>
    <row r="155" s="29" customFormat="1" ht="12.75" customHeight="1" x14ac:dyDescent="0.2"/>
    <row r="156" s="29" customFormat="1" ht="12.75" customHeight="1" x14ac:dyDescent="0.2"/>
    <row r="157" s="29" customFormat="1" ht="12.75" customHeight="1" x14ac:dyDescent="0.2"/>
    <row r="158" s="29" customFormat="1" ht="12.75" customHeight="1" x14ac:dyDescent="0.2"/>
    <row r="159" s="29" customFormat="1" ht="12.75" customHeight="1" x14ac:dyDescent="0.2"/>
    <row r="160" s="29" customFormat="1" ht="12.75" customHeight="1" x14ac:dyDescent="0.2"/>
    <row r="161" s="29" customFormat="1" ht="12.75" customHeight="1" x14ac:dyDescent="0.2"/>
    <row r="162" s="29" customFormat="1" ht="12.75" customHeight="1" x14ac:dyDescent="0.2"/>
    <row r="163" s="29" customFormat="1" ht="12.75" customHeight="1" x14ac:dyDescent="0.2"/>
    <row r="164" s="29" customFormat="1" ht="12.75" customHeight="1" x14ac:dyDescent="0.2"/>
    <row r="165" s="29" customFormat="1" ht="12.75" customHeight="1" x14ac:dyDescent="0.2"/>
    <row r="166" s="29" customFormat="1" ht="12.75" customHeight="1" x14ac:dyDescent="0.2"/>
    <row r="167" s="29" customFormat="1" ht="12.75" customHeight="1" x14ac:dyDescent="0.2"/>
    <row r="168" s="29" customFormat="1" ht="12.75" customHeight="1" x14ac:dyDescent="0.2"/>
    <row r="169" s="29" customFormat="1" ht="12.75" customHeight="1" x14ac:dyDescent="0.2"/>
    <row r="170" s="29" customFormat="1" ht="12.75" customHeight="1" x14ac:dyDescent="0.2"/>
    <row r="171" s="29" customFormat="1" ht="12.75" customHeight="1" x14ac:dyDescent="0.2"/>
    <row r="172" s="29" customFormat="1" ht="12.75" customHeight="1" x14ac:dyDescent="0.2"/>
    <row r="173" s="29" customFormat="1" ht="12.75" customHeight="1" x14ac:dyDescent="0.2"/>
    <row r="174" s="29" customFormat="1" ht="12.75" customHeight="1" x14ac:dyDescent="0.2"/>
    <row r="175" s="29" customFormat="1" ht="12.75" customHeight="1" x14ac:dyDescent="0.2"/>
    <row r="176" s="29" customFormat="1" ht="12.75" customHeight="1" x14ac:dyDescent="0.2"/>
    <row r="177" s="29" customFormat="1" ht="12.75" customHeight="1" x14ac:dyDescent="0.2"/>
    <row r="178" s="29" customFormat="1" ht="12.75" customHeight="1" x14ac:dyDescent="0.2"/>
    <row r="179" s="29" customFormat="1" ht="12.75" customHeight="1" x14ac:dyDescent="0.2"/>
    <row r="180" s="29" customFormat="1" ht="12.75" customHeight="1" x14ac:dyDescent="0.2"/>
    <row r="181" s="29" customFormat="1" ht="12.75" customHeight="1" x14ac:dyDescent="0.2"/>
    <row r="182" s="29" customFormat="1" ht="12.75" customHeight="1" x14ac:dyDescent="0.2"/>
    <row r="183" s="29" customFormat="1" ht="12.75" customHeight="1" x14ac:dyDescent="0.2"/>
    <row r="184" s="29" customFormat="1" ht="12.75" customHeight="1" x14ac:dyDescent="0.2"/>
    <row r="185" s="29" customFormat="1" ht="12.75" customHeight="1" x14ac:dyDescent="0.2"/>
    <row r="186" s="29" customFormat="1" ht="12.75" customHeight="1" x14ac:dyDescent="0.2"/>
    <row r="187" s="29" customFormat="1" ht="12.75" customHeight="1" x14ac:dyDescent="0.2"/>
    <row r="188" s="29" customFormat="1" ht="12.75" customHeight="1" x14ac:dyDescent="0.2"/>
    <row r="189" s="29" customFormat="1" ht="12.75" customHeight="1" x14ac:dyDescent="0.2"/>
    <row r="190" s="29" customFormat="1" ht="12.75" customHeight="1" x14ac:dyDescent="0.2"/>
    <row r="191" s="29" customFormat="1" ht="12.75" customHeight="1" x14ac:dyDescent="0.2"/>
    <row r="192" s="29" customFormat="1" ht="12.75" customHeight="1" x14ac:dyDescent="0.2"/>
    <row r="193" s="29" customFormat="1" ht="12.75" customHeight="1" x14ac:dyDescent="0.2"/>
    <row r="194" s="29" customFormat="1" ht="12.75" customHeight="1" x14ac:dyDescent="0.2"/>
    <row r="195" s="29" customFormat="1" ht="12.75" customHeight="1" x14ac:dyDescent="0.2"/>
    <row r="196" s="29" customFormat="1" ht="12.75" customHeight="1" x14ac:dyDescent="0.2"/>
    <row r="197" s="29" customFormat="1" ht="12.75" customHeight="1" x14ac:dyDescent="0.2"/>
    <row r="198" s="29" customFormat="1" ht="12.75" customHeight="1" x14ac:dyDescent="0.2"/>
    <row r="199" s="29" customFormat="1" ht="12.75" customHeight="1" x14ac:dyDescent="0.2"/>
    <row r="200" s="29" customFormat="1" ht="12.75" customHeight="1" x14ac:dyDescent="0.2"/>
    <row r="201" s="29" customFormat="1" ht="12.75" customHeight="1" x14ac:dyDescent="0.2"/>
    <row r="202" s="29" customFormat="1" ht="12.75" customHeight="1" x14ac:dyDescent="0.2"/>
    <row r="203" s="29" customFormat="1" ht="12.75" customHeight="1" x14ac:dyDescent="0.2"/>
    <row r="204" s="29" customFormat="1" ht="12.75" customHeight="1" x14ac:dyDescent="0.2"/>
    <row r="205" s="29" customFormat="1" ht="12.75" customHeight="1" x14ac:dyDescent="0.2"/>
    <row r="206" s="29" customFormat="1" ht="12.75" customHeight="1" x14ac:dyDescent="0.2"/>
    <row r="207" s="29" customFormat="1" ht="12.75" customHeight="1" x14ac:dyDescent="0.2"/>
    <row r="208" s="29" customFormat="1" ht="12.75" customHeight="1" x14ac:dyDescent="0.2"/>
    <row r="209" s="29" customFormat="1" ht="12.75" customHeight="1" x14ac:dyDescent="0.2"/>
    <row r="210" s="29" customFormat="1" ht="12.75" customHeight="1" x14ac:dyDescent="0.2"/>
    <row r="211" s="29" customFormat="1" ht="12.75" customHeight="1" x14ac:dyDescent="0.2"/>
    <row r="212" s="29" customFormat="1" ht="12.75" customHeight="1" x14ac:dyDescent="0.2"/>
    <row r="213" s="29" customFormat="1" ht="12.75" customHeight="1" x14ac:dyDescent="0.2"/>
    <row r="214" s="29" customFormat="1" ht="12.75" customHeight="1" x14ac:dyDescent="0.2"/>
    <row r="215" s="29" customFormat="1" ht="12.75" customHeight="1" x14ac:dyDescent="0.2"/>
    <row r="216" s="29" customFormat="1" ht="12.75" customHeight="1" x14ac:dyDescent="0.2"/>
    <row r="217" s="29" customFormat="1" ht="12.75" customHeight="1" x14ac:dyDescent="0.2"/>
    <row r="218" s="29" customFormat="1" ht="12.75" customHeight="1" x14ac:dyDescent="0.2"/>
    <row r="219" s="29" customFormat="1" ht="12.75" customHeight="1" x14ac:dyDescent="0.2"/>
    <row r="220" s="29" customFormat="1" ht="12.75" customHeight="1" x14ac:dyDescent="0.2"/>
    <row r="221" s="29" customFormat="1" ht="12.75" customHeight="1" x14ac:dyDescent="0.2"/>
    <row r="222" s="29" customFormat="1" ht="12.75" customHeight="1" x14ac:dyDescent="0.2"/>
    <row r="223" s="29" customFormat="1" ht="12.75" customHeight="1" x14ac:dyDescent="0.2"/>
    <row r="224" s="29" customFormat="1" ht="12.75" customHeight="1" x14ac:dyDescent="0.2"/>
    <row r="225" s="29" customFormat="1" ht="12.75" customHeight="1" x14ac:dyDescent="0.2"/>
    <row r="226" s="29" customFormat="1" ht="12.75" customHeight="1" x14ac:dyDescent="0.2"/>
    <row r="227" s="29" customFormat="1" ht="12.75" customHeight="1" x14ac:dyDescent="0.2"/>
    <row r="228" s="29" customFormat="1" ht="12.75" customHeight="1" x14ac:dyDescent="0.2"/>
    <row r="229" s="29" customFormat="1" ht="12.75" customHeight="1" x14ac:dyDescent="0.2"/>
    <row r="230" s="29" customFormat="1" ht="12.75" customHeight="1" x14ac:dyDescent="0.2"/>
    <row r="231" s="29" customFormat="1" ht="12.75" customHeight="1" x14ac:dyDescent="0.2"/>
    <row r="232" s="29" customFormat="1" ht="12.75" customHeight="1" x14ac:dyDescent="0.2"/>
    <row r="233" s="29" customFormat="1" ht="12.75" customHeight="1" x14ac:dyDescent="0.2"/>
    <row r="234" s="29" customFormat="1" ht="12.75" customHeight="1" x14ac:dyDescent="0.2"/>
    <row r="235" s="29" customFormat="1" ht="12.75" customHeight="1" x14ac:dyDescent="0.2"/>
    <row r="236" s="29" customFormat="1" ht="12.75" customHeight="1" x14ac:dyDescent="0.2"/>
    <row r="237" s="29" customFormat="1" ht="12.75" customHeight="1" x14ac:dyDescent="0.2"/>
    <row r="238" s="29" customFormat="1" ht="12.75" customHeight="1" x14ac:dyDescent="0.2"/>
    <row r="239" s="29" customFormat="1" ht="12.75" customHeight="1" x14ac:dyDescent="0.2"/>
    <row r="240" s="29" customFormat="1" ht="12.75" customHeight="1" x14ac:dyDescent="0.2"/>
    <row r="241" s="29" customFormat="1" ht="12.75" customHeight="1" x14ac:dyDescent="0.2"/>
    <row r="242" s="29" customFormat="1" ht="12.75" customHeight="1" x14ac:dyDescent="0.2"/>
    <row r="243" s="29" customFormat="1" ht="12.75" customHeight="1" x14ac:dyDescent="0.2"/>
    <row r="244" s="29" customFormat="1" ht="12.75" customHeight="1" x14ac:dyDescent="0.2"/>
    <row r="245" s="29" customFormat="1" ht="12.75" customHeight="1" x14ac:dyDescent="0.2"/>
    <row r="246" s="29" customFormat="1" ht="12.75" customHeight="1" x14ac:dyDescent="0.2"/>
    <row r="247" s="29" customFormat="1" ht="12.75" customHeight="1" x14ac:dyDescent="0.2"/>
    <row r="248" s="29" customFormat="1" ht="12.75" customHeight="1" x14ac:dyDescent="0.2"/>
    <row r="249" s="29" customFormat="1" ht="12.75" customHeight="1" x14ac:dyDescent="0.2"/>
    <row r="250" s="29" customFormat="1" ht="12.75" customHeight="1" x14ac:dyDescent="0.2"/>
    <row r="251" s="29" customFormat="1" ht="12.75" customHeight="1" x14ac:dyDescent="0.2"/>
    <row r="252" s="29" customFormat="1" ht="12.75" customHeight="1" x14ac:dyDescent="0.2"/>
    <row r="253" s="29" customFormat="1" ht="12.75" customHeight="1" x14ac:dyDescent="0.2"/>
    <row r="254" s="29" customFormat="1" ht="12.75" customHeight="1" x14ac:dyDescent="0.2"/>
    <row r="255" s="29" customFormat="1" ht="12.75" customHeight="1" x14ac:dyDescent="0.2"/>
    <row r="256" s="29" customFormat="1" ht="12.75" customHeight="1" x14ac:dyDescent="0.2"/>
    <row r="257" s="29" customFormat="1" ht="12.75" customHeight="1" x14ac:dyDescent="0.2"/>
    <row r="258" s="29" customFormat="1" ht="12.75" customHeight="1" x14ac:dyDescent="0.2"/>
    <row r="259" s="29" customFormat="1" ht="12.75" customHeight="1" x14ac:dyDescent="0.2"/>
    <row r="260" s="29" customFormat="1" ht="12.75" customHeight="1" x14ac:dyDescent="0.2"/>
    <row r="261" s="29" customFormat="1" ht="12.75" customHeight="1" x14ac:dyDescent="0.2"/>
    <row r="262" s="29" customFormat="1" ht="12.75" customHeight="1" x14ac:dyDescent="0.2"/>
    <row r="263" s="29" customFormat="1" ht="12.75" customHeight="1" x14ac:dyDescent="0.2"/>
    <row r="264" s="29" customFormat="1" ht="12.75" customHeight="1" x14ac:dyDescent="0.2"/>
    <row r="265" s="29" customFormat="1" ht="12.75" customHeight="1" x14ac:dyDescent="0.2"/>
    <row r="266" s="29" customFormat="1" ht="12.75" customHeight="1" x14ac:dyDescent="0.2"/>
    <row r="267" s="29" customFormat="1" ht="12.75" customHeight="1" x14ac:dyDescent="0.2"/>
    <row r="268" s="29" customFormat="1" ht="12.75" customHeight="1" x14ac:dyDescent="0.2"/>
    <row r="269" s="29" customFormat="1" ht="12.75" customHeight="1" x14ac:dyDescent="0.2"/>
    <row r="270" s="29" customFormat="1" ht="12.75" customHeight="1" x14ac:dyDescent="0.2"/>
    <row r="271" s="29" customFormat="1" ht="12.75" customHeight="1" x14ac:dyDescent="0.2"/>
    <row r="272" s="29" customFormat="1" ht="12.75" customHeight="1" x14ac:dyDescent="0.2"/>
    <row r="273" s="29" customFormat="1" ht="12.75" customHeight="1" x14ac:dyDescent="0.2"/>
    <row r="274" s="29" customFormat="1" ht="12.75" customHeight="1" x14ac:dyDescent="0.2"/>
    <row r="275" s="29" customFormat="1" ht="12.75" customHeight="1" x14ac:dyDescent="0.2"/>
    <row r="276" s="29" customFormat="1" ht="12.75" customHeight="1" x14ac:dyDescent="0.2"/>
    <row r="277" s="29" customFormat="1" ht="12.75" customHeight="1" x14ac:dyDescent="0.2"/>
    <row r="278" s="29" customFormat="1" ht="12.75" customHeight="1" x14ac:dyDescent="0.2"/>
    <row r="279" s="29" customFormat="1" ht="12.75" customHeight="1" x14ac:dyDescent="0.2"/>
    <row r="280" s="29" customFormat="1" ht="12.75" customHeight="1" x14ac:dyDescent="0.2"/>
    <row r="281" s="29" customFormat="1" ht="12.75" customHeight="1" x14ac:dyDescent="0.2"/>
    <row r="282" s="29" customFormat="1" ht="12.75" customHeight="1" x14ac:dyDescent="0.2"/>
    <row r="283" s="29" customFormat="1" ht="12.75" customHeight="1" x14ac:dyDescent="0.2"/>
    <row r="284" s="29" customFormat="1" ht="12.75" customHeight="1" x14ac:dyDescent="0.2"/>
    <row r="285" s="29" customFormat="1" ht="12.75" customHeight="1" x14ac:dyDescent="0.2"/>
    <row r="286" s="29" customFormat="1" ht="12.75" customHeight="1" x14ac:dyDescent="0.2"/>
    <row r="287" s="29" customFormat="1" ht="12.75" customHeight="1" x14ac:dyDescent="0.2"/>
    <row r="288" s="29" customFormat="1" ht="12.75" customHeight="1" x14ac:dyDescent="0.2"/>
    <row r="289" s="29" customFormat="1" ht="12.75" customHeight="1" x14ac:dyDescent="0.2"/>
    <row r="290" s="29" customFormat="1" ht="12.75" customHeight="1" x14ac:dyDescent="0.2"/>
    <row r="291" s="29" customFormat="1" ht="12.75" customHeight="1" x14ac:dyDescent="0.2"/>
    <row r="292" s="29" customFormat="1" ht="12.75" customHeight="1" x14ac:dyDescent="0.2"/>
    <row r="293" s="29" customFormat="1" ht="12.75" customHeight="1" x14ac:dyDescent="0.2"/>
    <row r="294" s="29" customFormat="1" ht="12.75" customHeight="1" x14ac:dyDescent="0.2"/>
    <row r="295" s="29" customFormat="1" ht="12.75" customHeight="1" x14ac:dyDescent="0.2"/>
    <row r="296" s="29" customFormat="1" ht="12.75" customHeight="1" x14ac:dyDescent="0.2"/>
    <row r="297" s="29" customFormat="1" ht="12.75" customHeight="1" x14ac:dyDescent="0.2"/>
    <row r="298" s="29" customFormat="1" ht="12.75" customHeight="1" x14ac:dyDescent="0.2"/>
    <row r="299" s="29" customFormat="1" ht="12.75" customHeight="1" x14ac:dyDescent="0.2"/>
    <row r="300" s="29" customFormat="1" ht="12.75" customHeight="1" x14ac:dyDescent="0.2"/>
    <row r="301" s="29" customFormat="1" ht="12.75" customHeight="1" x14ac:dyDescent="0.2"/>
    <row r="302" s="29" customFormat="1" ht="12.75" customHeight="1" x14ac:dyDescent="0.2"/>
    <row r="303" s="29" customFormat="1" ht="12.75" customHeight="1" x14ac:dyDescent="0.2"/>
    <row r="304" s="29" customFormat="1" ht="12.75" customHeight="1" x14ac:dyDescent="0.2"/>
    <row r="305" s="29" customFormat="1" ht="12.75" customHeight="1" x14ac:dyDescent="0.2"/>
    <row r="306" s="29" customFormat="1" ht="12.75" customHeight="1" x14ac:dyDescent="0.2"/>
    <row r="307" s="29" customFormat="1" ht="12.75" customHeight="1" x14ac:dyDescent="0.2"/>
    <row r="308" s="29" customFormat="1" ht="12.75" customHeight="1" x14ac:dyDescent="0.2"/>
    <row r="309" s="29" customFormat="1" ht="12.75" customHeight="1" x14ac:dyDescent="0.2"/>
    <row r="310" s="29" customFormat="1" ht="12.75" customHeight="1" x14ac:dyDescent="0.2"/>
    <row r="311" s="29" customFormat="1" ht="12.75" customHeight="1" x14ac:dyDescent="0.2"/>
    <row r="312" s="29" customFormat="1" ht="12.75" customHeight="1" x14ac:dyDescent="0.2"/>
    <row r="313" s="29" customFormat="1" ht="12.75" customHeight="1" x14ac:dyDescent="0.2"/>
    <row r="314" s="29" customFormat="1" ht="12.75" customHeight="1" x14ac:dyDescent="0.2"/>
    <row r="315" s="29" customFormat="1" ht="12.75" customHeight="1" x14ac:dyDescent="0.2"/>
    <row r="316" s="29" customFormat="1" ht="12.75" customHeight="1" x14ac:dyDescent="0.2"/>
    <row r="317" s="29" customFormat="1" ht="12.75" customHeight="1" x14ac:dyDescent="0.2"/>
    <row r="318" s="29" customFormat="1" ht="12.75" customHeight="1" x14ac:dyDescent="0.2"/>
    <row r="319" s="29" customFormat="1" ht="12.75" customHeight="1" x14ac:dyDescent="0.2"/>
    <row r="320" s="29" customFormat="1" ht="12.75" customHeight="1" x14ac:dyDescent="0.2"/>
    <row r="321" s="29" customFormat="1" ht="12.75" customHeight="1" x14ac:dyDescent="0.2"/>
    <row r="322" s="29" customFormat="1" ht="12.75" customHeight="1" x14ac:dyDescent="0.2"/>
    <row r="323" s="29" customFormat="1" ht="12.75" customHeight="1" x14ac:dyDescent="0.2"/>
    <row r="324" s="29" customFormat="1" ht="12.75" customHeight="1" x14ac:dyDescent="0.2"/>
    <row r="325" s="29" customFormat="1" ht="12.75" customHeight="1" x14ac:dyDescent="0.2"/>
    <row r="326" s="29" customFormat="1" ht="12.75" customHeight="1" x14ac:dyDescent="0.2"/>
    <row r="327" s="29" customFormat="1" ht="12.75" customHeight="1" x14ac:dyDescent="0.2"/>
    <row r="328" s="29" customFormat="1" ht="12.75" customHeight="1" x14ac:dyDescent="0.2"/>
    <row r="329" s="29" customFormat="1" ht="12.75" customHeight="1" x14ac:dyDescent="0.2"/>
    <row r="330" s="29" customFormat="1" ht="12.75" customHeight="1" x14ac:dyDescent="0.2"/>
    <row r="331" s="29" customFormat="1" ht="12.75" customHeight="1" x14ac:dyDescent="0.2"/>
    <row r="332" s="29" customFormat="1" ht="12.75" customHeight="1" x14ac:dyDescent="0.2"/>
    <row r="333" s="29" customFormat="1" ht="12.75" customHeight="1" x14ac:dyDescent="0.2"/>
    <row r="334" s="29" customFormat="1" ht="12.75" customHeight="1" x14ac:dyDescent="0.2"/>
    <row r="335" s="29" customFormat="1" ht="12.75" customHeight="1" x14ac:dyDescent="0.2"/>
    <row r="336" s="29" customFormat="1" ht="12.75" customHeight="1" x14ac:dyDescent="0.2"/>
    <row r="337" s="29" customFormat="1" ht="12.75" customHeight="1" x14ac:dyDescent="0.2"/>
    <row r="338" s="29" customFormat="1" ht="12.75" customHeight="1" x14ac:dyDescent="0.2"/>
    <row r="339" s="29" customFormat="1" ht="12.75" customHeight="1" x14ac:dyDescent="0.2"/>
    <row r="340" s="29" customFormat="1" ht="12.75" customHeight="1" x14ac:dyDescent="0.2"/>
    <row r="341" s="29" customFormat="1" ht="12.75" customHeight="1" x14ac:dyDescent="0.2"/>
    <row r="342" s="29" customFormat="1" ht="12.75" customHeight="1" x14ac:dyDescent="0.2"/>
    <row r="343" s="29" customFormat="1" ht="12.75" customHeight="1" x14ac:dyDescent="0.2"/>
    <row r="344" s="29" customFormat="1" ht="12.75" customHeight="1" x14ac:dyDescent="0.2"/>
    <row r="345" s="29" customFormat="1" ht="12.75" customHeight="1" x14ac:dyDescent="0.2"/>
    <row r="346" s="29" customFormat="1" ht="12.75" customHeight="1" x14ac:dyDescent="0.2"/>
    <row r="347" s="29" customFormat="1" ht="12.75" customHeight="1" x14ac:dyDescent="0.2"/>
    <row r="348" s="29" customFormat="1" ht="12.75" customHeight="1" x14ac:dyDescent="0.2"/>
    <row r="349" s="29" customFormat="1" ht="12.75" customHeight="1" x14ac:dyDescent="0.2"/>
    <row r="350" s="29" customFormat="1" ht="12.75" customHeight="1" x14ac:dyDescent="0.2"/>
    <row r="351" s="29" customFormat="1" ht="12.75" customHeight="1" x14ac:dyDescent="0.2"/>
    <row r="352" s="29" customFormat="1" ht="12.75" customHeight="1" x14ac:dyDescent="0.2"/>
    <row r="353" s="29" customFormat="1" ht="12.75" customHeight="1" x14ac:dyDescent="0.2"/>
    <row r="354" s="29" customFormat="1" ht="12.75" customHeight="1" x14ac:dyDescent="0.2"/>
    <row r="355" s="29" customFormat="1" ht="12.75" customHeight="1" x14ac:dyDescent="0.2"/>
    <row r="356" s="29" customFormat="1" ht="12.75" customHeight="1" x14ac:dyDescent="0.2"/>
    <row r="357" s="29" customFormat="1" ht="12.75" customHeight="1" x14ac:dyDescent="0.2"/>
    <row r="358" s="29" customFormat="1" ht="12.75" customHeight="1" x14ac:dyDescent="0.2"/>
    <row r="359" s="29" customFormat="1" ht="12.75" customHeight="1" x14ac:dyDescent="0.2"/>
    <row r="360" s="29" customFormat="1" ht="12.75" customHeight="1" x14ac:dyDescent="0.2"/>
    <row r="361" s="29" customFormat="1" ht="12.75" customHeight="1" x14ac:dyDescent="0.2"/>
    <row r="362" s="29" customFormat="1" ht="12.75" customHeight="1" x14ac:dyDescent="0.2"/>
    <row r="363" s="29" customFormat="1" ht="12.75" customHeight="1" x14ac:dyDescent="0.2"/>
    <row r="364" s="29" customFormat="1" ht="12.75" customHeight="1" x14ac:dyDescent="0.2"/>
    <row r="365" s="29" customFormat="1" ht="12.75" customHeight="1" x14ac:dyDescent="0.2"/>
    <row r="366" s="29" customFormat="1" ht="12.75" customHeight="1" x14ac:dyDescent="0.2"/>
    <row r="367" s="29" customFormat="1" ht="12.75" customHeight="1" x14ac:dyDescent="0.2"/>
    <row r="368" s="29" customFormat="1" ht="12.75" customHeight="1" x14ac:dyDescent="0.2"/>
    <row r="369" s="29" customFormat="1" ht="12.75" customHeight="1" x14ac:dyDescent="0.2"/>
    <row r="370" s="29" customFormat="1" ht="12.75" customHeight="1" x14ac:dyDescent="0.2"/>
    <row r="371" s="29" customFormat="1" ht="12.75" customHeight="1" x14ac:dyDescent="0.2"/>
    <row r="372" s="29" customFormat="1" ht="12.75" customHeight="1" x14ac:dyDescent="0.2"/>
    <row r="373" s="29" customFormat="1" ht="12.75" customHeight="1" x14ac:dyDescent="0.2"/>
    <row r="374" s="29" customFormat="1" ht="12.75" customHeight="1" x14ac:dyDescent="0.2"/>
    <row r="375" s="29" customFormat="1" ht="12.75" customHeight="1" x14ac:dyDescent="0.2"/>
    <row r="376" s="29" customFormat="1" ht="12.75" customHeight="1" x14ac:dyDescent="0.2"/>
    <row r="377" s="29" customFormat="1" ht="12.75" customHeight="1" x14ac:dyDescent="0.2"/>
    <row r="378" s="29" customFormat="1" ht="12.75" customHeight="1" x14ac:dyDescent="0.2"/>
    <row r="379" s="29" customFormat="1" ht="12.75" customHeight="1" x14ac:dyDescent="0.2"/>
    <row r="380" s="29" customFormat="1" ht="12.75" customHeight="1" x14ac:dyDescent="0.2"/>
    <row r="381" s="29" customFormat="1" ht="12.75" customHeight="1" x14ac:dyDescent="0.2"/>
    <row r="382" s="29" customFormat="1" ht="12.75" customHeight="1" x14ac:dyDescent="0.2"/>
    <row r="383" s="29" customFormat="1" ht="12.75" customHeight="1" x14ac:dyDescent="0.2"/>
    <row r="384" s="29" customFormat="1" ht="12.75" customHeight="1" x14ac:dyDescent="0.2"/>
    <row r="385" s="29" customFormat="1" ht="12.75" customHeight="1" x14ac:dyDescent="0.2"/>
    <row r="386" s="29" customFormat="1" ht="12.75" customHeight="1" x14ac:dyDescent="0.2"/>
    <row r="387" s="29" customFormat="1" ht="12.75" customHeight="1" x14ac:dyDescent="0.2"/>
    <row r="388" s="29" customFormat="1" ht="12.75" customHeight="1" x14ac:dyDescent="0.2"/>
    <row r="389" s="29" customFormat="1" ht="12.75" customHeight="1" x14ac:dyDescent="0.2"/>
    <row r="390" s="29" customFormat="1" ht="12.75" customHeight="1" x14ac:dyDescent="0.2"/>
    <row r="391" s="29" customFormat="1" ht="12.75" customHeight="1" x14ac:dyDescent="0.2"/>
    <row r="392" s="29" customFormat="1" ht="12.75" customHeight="1" x14ac:dyDescent="0.2"/>
    <row r="393" s="29" customFormat="1" ht="12.75" customHeight="1" x14ac:dyDescent="0.2"/>
    <row r="394" s="29" customFormat="1" ht="12.75" customHeight="1" x14ac:dyDescent="0.2"/>
    <row r="395" s="29" customFormat="1" ht="12.75" customHeight="1" x14ac:dyDescent="0.2"/>
    <row r="396" s="29" customFormat="1" ht="12.75" customHeight="1" x14ac:dyDescent="0.2"/>
    <row r="397" s="29" customFormat="1" ht="12.75" customHeight="1" x14ac:dyDescent="0.2"/>
    <row r="398" s="29" customFormat="1" ht="12.75" customHeight="1" x14ac:dyDescent="0.2"/>
    <row r="399" s="29" customFormat="1" ht="12.75" customHeight="1" x14ac:dyDescent="0.2"/>
    <row r="400" s="29" customFormat="1" ht="12.75" customHeight="1" x14ac:dyDescent="0.2"/>
    <row r="401" s="29" customFormat="1" ht="12.75" customHeight="1" x14ac:dyDescent="0.2"/>
    <row r="402" s="29" customFormat="1" ht="12.75" customHeight="1" x14ac:dyDescent="0.2"/>
    <row r="403" s="29" customFormat="1" ht="12.75" customHeight="1" x14ac:dyDescent="0.2"/>
    <row r="404" s="29" customFormat="1" ht="12.75" customHeight="1" x14ac:dyDescent="0.2"/>
    <row r="405" s="29" customFormat="1" ht="12.75" customHeight="1" x14ac:dyDescent="0.2"/>
    <row r="406" s="29" customFormat="1" ht="12.75" customHeight="1" x14ac:dyDescent="0.2"/>
    <row r="407" s="29" customFormat="1" ht="12.75" customHeight="1" x14ac:dyDescent="0.2"/>
    <row r="408" s="29" customFormat="1" ht="12.75" customHeight="1" x14ac:dyDescent="0.2"/>
    <row r="409" s="29" customFormat="1" ht="12.75" customHeight="1" x14ac:dyDescent="0.2"/>
    <row r="410" s="29" customFormat="1" ht="12.75" customHeight="1" x14ac:dyDescent="0.2"/>
    <row r="411" s="29" customFormat="1" ht="12.75" customHeight="1" x14ac:dyDescent="0.2"/>
    <row r="412" s="29" customFormat="1" ht="12.75" customHeight="1" x14ac:dyDescent="0.2"/>
    <row r="413" s="29" customFormat="1" ht="12.75" customHeight="1" x14ac:dyDescent="0.2"/>
    <row r="414" s="29" customFormat="1" ht="12.75" customHeight="1" x14ac:dyDescent="0.2"/>
    <row r="415" s="29" customFormat="1" ht="12.75" customHeight="1" x14ac:dyDescent="0.2"/>
    <row r="416" s="29" customFormat="1" ht="12.75" customHeight="1" x14ac:dyDescent="0.2"/>
    <row r="417" s="29" customFormat="1" ht="12.75" customHeight="1" x14ac:dyDescent="0.2"/>
    <row r="418" s="29" customFormat="1" ht="12.75" customHeight="1" x14ac:dyDescent="0.2"/>
    <row r="419" s="29" customFormat="1" ht="12.75" customHeight="1" x14ac:dyDescent="0.2"/>
    <row r="420" s="29" customFormat="1" ht="12.75" customHeight="1" x14ac:dyDescent="0.2"/>
    <row r="421" s="29" customFormat="1" ht="12.75" customHeight="1" x14ac:dyDescent="0.2"/>
    <row r="422" s="29" customFormat="1" ht="12.75" customHeight="1" x14ac:dyDescent="0.2"/>
    <row r="423" s="29" customFormat="1" ht="12.75" customHeight="1" x14ac:dyDescent="0.2"/>
    <row r="424" s="29" customFormat="1" ht="12.75" customHeight="1" x14ac:dyDescent="0.2"/>
    <row r="425" s="29" customFormat="1" ht="12.75" customHeight="1" x14ac:dyDescent="0.2"/>
    <row r="426" s="29" customFormat="1" ht="12.75" customHeight="1" x14ac:dyDescent="0.2"/>
    <row r="427" s="29" customFormat="1" ht="12.75" customHeight="1" x14ac:dyDescent="0.2"/>
    <row r="428" s="29" customFormat="1" ht="12.75" customHeight="1" x14ac:dyDescent="0.2"/>
    <row r="429" s="29" customFormat="1" ht="12.75" customHeight="1" x14ac:dyDescent="0.2"/>
    <row r="430" s="29" customFormat="1" ht="12.75" customHeight="1" x14ac:dyDescent="0.2"/>
    <row r="431" s="29" customFormat="1" ht="12.75" customHeight="1" x14ac:dyDescent="0.2"/>
    <row r="432" s="29" customFormat="1" ht="12.75" customHeight="1" x14ac:dyDescent="0.2"/>
    <row r="433" s="29" customFormat="1" ht="12.75" customHeight="1" x14ac:dyDescent="0.2"/>
    <row r="434" s="29" customFormat="1" ht="12.75" customHeight="1" x14ac:dyDescent="0.2"/>
    <row r="435" s="29" customFormat="1" ht="12.75" customHeight="1" x14ac:dyDescent="0.2"/>
    <row r="436" s="29" customFormat="1" ht="12.75" customHeight="1" x14ac:dyDescent="0.2"/>
    <row r="437" s="29" customFormat="1" ht="12.75" customHeight="1" x14ac:dyDescent="0.2"/>
    <row r="438" s="29" customFormat="1" ht="12.75" customHeight="1" x14ac:dyDescent="0.2"/>
    <row r="439" s="29" customFormat="1" ht="12.75" customHeight="1" x14ac:dyDescent="0.2"/>
    <row r="440" s="29" customFormat="1" ht="12.75" customHeight="1" x14ac:dyDescent="0.2"/>
    <row r="441" s="29" customFormat="1" ht="12.75" customHeight="1" x14ac:dyDescent="0.2"/>
    <row r="442" s="29" customFormat="1" ht="12.75" customHeight="1" x14ac:dyDescent="0.2"/>
    <row r="443" s="29" customFormat="1" ht="12.75" customHeight="1" x14ac:dyDescent="0.2"/>
    <row r="444" s="29" customFormat="1" ht="12.75" customHeight="1" x14ac:dyDescent="0.2"/>
    <row r="445" s="29" customFormat="1" ht="12.75" customHeight="1" x14ac:dyDescent="0.2"/>
    <row r="446" s="29" customFormat="1" ht="12.75" customHeight="1" x14ac:dyDescent="0.2"/>
    <row r="447" s="29" customFormat="1" ht="12.75" customHeight="1" x14ac:dyDescent="0.2"/>
    <row r="448" s="29" customFormat="1" ht="12.75" customHeight="1" x14ac:dyDescent="0.2"/>
    <row r="449" s="29" customFormat="1" ht="12.75" customHeight="1" x14ac:dyDescent="0.2"/>
    <row r="450" s="29" customFormat="1" ht="12.75" customHeight="1" x14ac:dyDescent="0.2"/>
    <row r="451" s="29" customFormat="1" ht="12.75" customHeight="1" x14ac:dyDescent="0.2"/>
    <row r="452" s="29" customFormat="1" ht="12.75" customHeight="1" x14ac:dyDescent="0.2"/>
    <row r="453" s="29" customFormat="1" ht="12.75" customHeight="1" x14ac:dyDescent="0.2"/>
    <row r="454" s="29" customFormat="1" ht="12.75" customHeight="1" x14ac:dyDescent="0.2"/>
    <row r="455" s="29" customFormat="1" ht="12.75" customHeight="1" x14ac:dyDescent="0.2"/>
    <row r="456" s="29" customFormat="1" ht="12.75" customHeight="1" x14ac:dyDescent="0.2"/>
    <row r="457" s="29" customFormat="1" ht="12.75" customHeight="1" x14ac:dyDescent="0.2"/>
    <row r="458" s="29" customFormat="1" ht="12.75" customHeight="1" x14ac:dyDescent="0.2"/>
    <row r="459" s="29" customFormat="1" ht="12.75" customHeight="1" x14ac:dyDescent="0.2"/>
    <row r="460" s="29" customFormat="1" ht="12.75" customHeight="1" x14ac:dyDescent="0.2"/>
    <row r="461" s="29" customFormat="1" ht="12.75" customHeight="1" x14ac:dyDescent="0.2"/>
    <row r="462" s="29" customFormat="1" ht="12.75" customHeight="1" x14ac:dyDescent="0.2"/>
    <row r="463" s="29" customFormat="1" ht="12.75" customHeight="1" x14ac:dyDescent="0.2"/>
    <row r="464" s="29" customFormat="1" ht="12.75" customHeight="1" x14ac:dyDescent="0.2"/>
    <row r="465" s="29" customFormat="1" ht="12.75" customHeight="1" x14ac:dyDescent="0.2"/>
    <row r="466" s="29" customFormat="1" ht="12.75" customHeight="1" x14ac:dyDescent="0.2"/>
    <row r="467" s="29" customFormat="1" ht="12.75" customHeight="1" x14ac:dyDescent="0.2"/>
    <row r="468" s="29" customFormat="1" ht="12.75" customHeight="1" x14ac:dyDescent="0.2"/>
    <row r="469" s="29" customFormat="1" ht="12.75" customHeight="1" x14ac:dyDescent="0.2"/>
    <row r="470" s="29" customFormat="1" ht="12.75" customHeight="1" x14ac:dyDescent="0.2"/>
    <row r="471" s="29" customFormat="1" ht="12.75" customHeight="1" x14ac:dyDescent="0.2"/>
    <row r="472" s="29" customFormat="1" ht="12.75" customHeight="1" x14ac:dyDescent="0.2"/>
    <row r="473" s="29" customFormat="1" ht="12.75" customHeight="1" x14ac:dyDescent="0.2"/>
    <row r="474" s="29" customFormat="1" ht="12.75" customHeight="1" x14ac:dyDescent="0.2"/>
    <row r="475" s="29" customFormat="1" ht="12.75" customHeight="1" x14ac:dyDescent="0.2"/>
    <row r="476" s="29" customFormat="1" ht="12.75" customHeight="1" x14ac:dyDescent="0.2"/>
    <row r="477" s="29" customFormat="1" ht="12.75" customHeight="1" x14ac:dyDescent="0.2"/>
    <row r="478" s="29" customFormat="1" ht="12.75" customHeight="1" x14ac:dyDescent="0.2"/>
    <row r="479" s="29" customFormat="1" ht="12.75" customHeight="1" x14ac:dyDescent="0.2"/>
    <row r="480" s="29" customFormat="1" ht="12.75" customHeight="1" x14ac:dyDescent="0.2"/>
    <row r="481" s="29" customFormat="1" ht="12.75" customHeight="1" x14ac:dyDescent="0.2"/>
    <row r="482" s="29" customFormat="1" ht="12.75" customHeight="1" x14ac:dyDescent="0.2"/>
    <row r="483" s="29" customFormat="1" ht="12.75" customHeight="1" x14ac:dyDescent="0.2"/>
    <row r="484" s="29" customFormat="1" ht="12.75" customHeight="1" x14ac:dyDescent="0.2"/>
    <row r="485" s="29" customFormat="1" ht="12.75" customHeight="1" x14ac:dyDescent="0.2"/>
    <row r="486" s="29" customFormat="1" ht="12.75" customHeight="1" x14ac:dyDescent="0.2"/>
    <row r="487" s="29" customFormat="1" ht="12.75" customHeight="1" x14ac:dyDescent="0.2"/>
    <row r="488" s="29" customFormat="1" ht="12.75" customHeight="1" x14ac:dyDescent="0.2"/>
    <row r="489" s="29" customFormat="1" ht="12.75" customHeight="1" x14ac:dyDescent="0.2"/>
    <row r="490" s="29" customFormat="1" ht="12.75" customHeight="1" x14ac:dyDescent="0.2"/>
    <row r="491" s="29" customFormat="1" ht="12.75" customHeight="1" x14ac:dyDescent="0.2"/>
    <row r="492" s="29" customFormat="1" ht="12.75" customHeight="1" x14ac:dyDescent="0.2"/>
    <row r="493" s="29" customFormat="1" ht="12.75" customHeight="1" x14ac:dyDescent="0.2"/>
    <row r="494" s="29" customFormat="1" ht="12.75" customHeight="1" x14ac:dyDescent="0.2"/>
    <row r="495" s="29" customFormat="1" ht="12.75" customHeight="1" x14ac:dyDescent="0.2"/>
    <row r="496" s="29" customFormat="1" ht="12.75" customHeight="1" x14ac:dyDescent="0.2"/>
    <row r="497" s="29" customFormat="1" ht="12.75" customHeight="1" x14ac:dyDescent="0.2"/>
    <row r="498" s="29" customFormat="1" ht="12.75" customHeight="1" x14ac:dyDescent="0.2"/>
    <row r="499" s="29" customFormat="1" ht="12.75" customHeight="1" x14ac:dyDescent="0.2"/>
    <row r="500" s="29" customFormat="1" ht="12.75" customHeight="1" x14ac:dyDescent="0.2"/>
    <row r="501" s="29" customFormat="1" ht="12.75" customHeight="1" x14ac:dyDescent="0.2"/>
    <row r="502" s="29" customFormat="1" ht="12.75" customHeight="1" x14ac:dyDescent="0.2"/>
    <row r="503" s="29" customFormat="1" ht="12.75" customHeight="1" x14ac:dyDescent="0.2"/>
    <row r="504" s="29" customFormat="1" ht="12.75" customHeight="1" x14ac:dyDescent="0.2"/>
    <row r="505" s="29" customFormat="1" ht="12.75" customHeight="1" x14ac:dyDescent="0.2"/>
    <row r="506" s="29" customFormat="1" ht="12.75" customHeight="1" x14ac:dyDescent="0.2"/>
    <row r="507" s="29" customFormat="1" ht="12.75" customHeight="1" x14ac:dyDescent="0.2"/>
    <row r="508" s="29" customFormat="1" ht="12.75" customHeight="1" x14ac:dyDescent="0.2"/>
    <row r="509" s="29" customFormat="1" ht="12.75" customHeight="1" x14ac:dyDescent="0.2"/>
    <row r="510" s="29" customFormat="1" ht="12.75" customHeight="1" x14ac:dyDescent="0.2"/>
    <row r="511" s="29" customFormat="1" ht="12.75" customHeight="1" x14ac:dyDescent="0.2"/>
    <row r="512" s="29" customFormat="1" ht="12.75" customHeight="1" x14ac:dyDescent="0.2"/>
    <row r="513" s="29" customFormat="1" ht="12.75" customHeight="1" x14ac:dyDescent="0.2"/>
    <row r="514" s="29" customFormat="1" ht="12.75" customHeight="1" x14ac:dyDescent="0.2"/>
    <row r="515" s="29" customFormat="1" ht="12.75" customHeight="1" x14ac:dyDescent="0.2"/>
    <row r="516" s="29" customFormat="1" ht="12.75" customHeight="1" x14ac:dyDescent="0.2"/>
    <row r="517" s="29" customFormat="1" ht="12.75" customHeight="1" x14ac:dyDescent="0.2"/>
    <row r="518" s="29" customFormat="1" ht="12.75" customHeight="1" x14ac:dyDescent="0.2"/>
    <row r="519" s="29" customFormat="1" ht="12.75" customHeight="1" x14ac:dyDescent="0.2"/>
    <row r="520" s="29" customFormat="1" ht="12.75" customHeight="1" x14ac:dyDescent="0.2"/>
    <row r="521" s="29" customFormat="1" ht="12.75" customHeight="1" x14ac:dyDescent="0.2"/>
    <row r="522" s="29" customFormat="1" ht="12.75" customHeight="1" x14ac:dyDescent="0.2"/>
    <row r="523" s="29" customFormat="1" ht="12.75" customHeight="1" x14ac:dyDescent="0.2"/>
    <row r="524" s="29" customFormat="1" ht="12.75" customHeight="1" x14ac:dyDescent="0.2"/>
    <row r="525" s="29" customFormat="1" ht="12.75" customHeight="1" x14ac:dyDescent="0.2"/>
    <row r="526" s="29" customFormat="1" ht="12.75" customHeight="1" x14ac:dyDescent="0.2"/>
    <row r="527" s="29" customFormat="1" ht="12.75" customHeight="1" x14ac:dyDescent="0.2"/>
    <row r="528" s="29" customFormat="1" ht="12.75" customHeight="1" x14ac:dyDescent="0.2"/>
    <row r="529" s="29" customFormat="1" ht="12.75" customHeight="1" x14ac:dyDescent="0.2"/>
    <row r="530" s="29" customFormat="1" ht="12.75" customHeight="1" x14ac:dyDescent="0.2"/>
    <row r="531" s="29" customFormat="1" ht="12.75" customHeight="1" x14ac:dyDescent="0.2"/>
    <row r="532" s="29" customFormat="1" ht="12.75" customHeight="1" x14ac:dyDescent="0.2"/>
    <row r="533" s="29" customFormat="1" ht="12.75" customHeight="1" x14ac:dyDescent="0.2"/>
    <row r="534" s="29" customFormat="1" ht="12.75" customHeight="1" x14ac:dyDescent="0.2"/>
    <row r="535" s="29" customFormat="1" ht="12.75" customHeight="1" x14ac:dyDescent="0.2"/>
    <row r="536" s="29" customFormat="1" ht="12.75" customHeight="1" x14ac:dyDescent="0.2"/>
    <row r="537" s="29" customFormat="1" ht="12.75" customHeight="1" x14ac:dyDescent="0.2"/>
    <row r="538" s="29" customFormat="1" ht="12.75" customHeight="1" x14ac:dyDescent="0.2"/>
    <row r="539" s="29" customFormat="1" ht="12.75" customHeight="1" x14ac:dyDescent="0.2"/>
    <row r="540" s="29" customFormat="1" ht="12.75" customHeight="1" x14ac:dyDescent="0.2"/>
    <row r="541" s="29" customFormat="1" ht="12.75" customHeight="1" x14ac:dyDescent="0.2"/>
    <row r="542" s="29" customFormat="1" ht="12.75" customHeight="1" x14ac:dyDescent="0.2"/>
    <row r="543" s="29" customFormat="1" ht="12.75" customHeight="1" x14ac:dyDescent="0.2"/>
    <row r="544" s="29" customFormat="1" ht="12.75" customHeight="1" x14ac:dyDescent="0.2"/>
    <row r="545" s="29" customFormat="1" ht="12.75" customHeight="1" x14ac:dyDescent="0.2"/>
    <row r="546" s="29" customFormat="1" ht="12.75" customHeight="1" x14ac:dyDescent="0.2"/>
    <row r="547" s="29" customFormat="1" ht="12.75" customHeight="1" x14ac:dyDescent="0.2"/>
    <row r="548" s="29" customFormat="1" ht="12.75" customHeight="1" x14ac:dyDescent="0.2"/>
    <row r="549" s="29" customFormat="1" ht="12.75" customHeight="1" x14ac:dyDescent="0.2"/>
    <row r="550" s="29" customFormat="1" ht="12.75" customHeight="1" x14ac:dyDescent="0.2"/>
    <row r="551" s="29" customFormat="1" ht="12.75" customHeight="1" x14ac:dyDescent="0.2"/>
    <row r="552" s="29" customFormat="1" ht="12.75" customHeight="1" x14ac:dyDescent="0.2"/>
    <row r="553" s="29" customFormat="1" ht="12.75" customHeight="1" x14ac:dyDescent="0.2"/>
    <row r="554" s="29" customFormat="1" ht="12.75" customHeight="1" x14ac:dyDescent="0.2"/>
    <row r="555" s="29" customFormat="1" ht="12.75" customHeight="1" x14ac:dyDescent="0.2"/>
    <row r="556" s="29" customFormat="1" ht="12.75" customHeight="1" x14ac:dyDescent="0.2"/>
    <row r="557" s="29" customFormat="1" ht="12.75" customHeight="1" x14ac:dyDescent="0.2"/>
    <row r="558" s="29" customFormat="1" ht="12.75" customHeight="1" x14ac:dyDescent="0.2"/>
    <row r="559" s="29" customFormat="1" ht="12.75" customHeight="1" x14ac:dyDescent="0.2"/>
    <row r="560" s="29" customFormat="1" ht="12.75" customHeight="1" x14ac:dyDescent="0.2"/>
    <row r="561" s="29" customFormat="1" ht="12.75" customHeight="1" x14ac:dyDescent="0.2"/>
    <row r="562" s="29" customFormat="1" ht="12.75" customHeight="1" x14ac:dyDescent="0.2"/>
    <row r="563" s="29" customFormat="1" ht="12.75" customHeight="1" x14ac:dyDescent="0.2"/>
    <row r="564" s="29" customFormat="1" ht="12.75" customHeight="1" x14ac:dyDescent="0.2"/>
    <row r="565" s="29" customFormat="1" ht="12.75" customHeight="1" x14ac:dyDescent="0.2"/>
    <row r="566" s="29" customFormat="1" ht="12.75" customHeight="1" x14ac:dyDescent="0.2"/>
    <row r="567" s="29" customFormat="1" ht="12.75" customHeight="1" x14ac:dyDescent="0.2"/>
    <row r="568" s="29" customFormat="1" ht="12.75" customHeight="1" x14ac:dyDescent="0.2"/>
    <row r="569" s="29" customFormat="1" ht="12.75" customHeight="1" x14ac:dyDescent="0.2"/>
    <row r="570" s="29" customFormat="1" ht="12.75" customHeight="1" x14ac:dyDescent="0.2"/>
    <row r="571" s="29" customFormat="1" ht="12.75" customHeight="1" x14ac:dyDescent="0.2"/>
    <row r="572" s="29" customFormat="1" ht="12.75" customHeight="1" x14ac:dyDescent="0.2"/>
    <row r="573" s="29" customFormat="1" ht="12.75" customHeight="1" x14ac:dyDescent="0.2"/>
    <row r="574" s="29" customFormat="1" ht="12.75" customHeight="1" x14ac:dyDescent="0.2"/>
    <row r="575" s="29" customFormat="1" ht="12.75" customHeight="1" x14ac:dyDescent="0.2"/>
    <row r="576" s="29" customFormat="1" ht="12.75" customHeight="1" x14ac:dyDescent="0.2"/>
    <row r="577" s="29" customFormat="1" ht="12.75" customHeight="1" x14ac:dyDescent="0.2"/>
    <row r="578" s="29" customFormat="1" ht="12.75" customHeight="1" x14ac:dyDescent="0.2"/>
    <row r="579" s="29" customFormat="1" ht="12.75" customHeight="1" x14ac:dyDescent="0.2"/>
    <row r="580" s="29" customFormat="1" ht="12.75" customHeight="1" x14ac:dyDescent="0.2"/>
    <row r="581" s="29" customFormat="1" ht="12.75" customHeight="1" x14ac:dyDescent="0.2"/>
    <row r="582" s="29" customFormat="1" ht="12.75" customHeight="1" x14ac:dyDescent="0.2"/>
    <row r="583" s="29" customFormat="1" ht="12.75" customHeight="1" x14ac:dyDescent="0.2"/>
    <row r="584" s="29" customFormat="1" ht="12.75" customHeight="1" x14ac:dyDescent="0.2"/>
    <row r="585" s="29" customFormat="1" ht="12.75" customHeight="1" x14ac:dyDescent="0.2"/>
    <row r="586" s="29" customFormat="1" ht="12.75" customHeight="1" x14ac:dyDescent="0.2"/>
    <row r="587" s="29" customFormat="1" ht="12.75" customHeight="1" x14ac:dyDescent="0.2"/>
    <row r="588" s="29" customFormat="1" ht="12.75" customHeight="1" x14ac:dyDescent="0.2"/>
    <row r="589" s="29" customFormat="1" ht="12.75" customHeight="1" x14ac:dyDescent="0.2"/>
    <row r="590" s="29" customFormat="1" ht="12.75" customHeight="1" x14ac:dyDescent="0.2"/>
    <row r="591" s="29" customFormat="1" ht="12.75" customHeight="1" x14ac:dyDescent="0.2"/>
    <row r="592" s="29" customFormat="1" ht="12.75" customHeight="1" x14ac:dyDescent="0.2"/>
    <row r="593" s="29" customFormat="1" ht="12.75" customHeight="1" x14ac:dyDescent="0.2"/>
    <row r="594" s="29" customFormat="1" ht="12.75" customHeight="1" x14ac:dyDescent="0.2"/>
    <row r="595" s="29" customFormat="1" ht="12.75" customHeight="1" x14ac:dyDescent="0.2"/>
    <row r="596" s="29" customFormat="1" ht="12.75" customHeight="1" x14ac:dyDescent="0.2"/>
    <row r="597" s="29" customFormat="1" ht="12.75" customHeight="1" x14ac:dyDescent="0.2"/>
    <row r="598" s="29" customFormat="1" ht="12.75" customHeight="1" x14ac:dyDescent="0.2"/>
    <row r="599" s="29" customFormat="1" ht="12.75" customHeight="1" x14ac:dyDescent="0.2"/>
    <row r="600" s="29" customFormat="1" ht="12.75" customHeight="1" x14ac:dyDescent="0.2"/>
    <row r="601" s="29" customFormat="1" ht="12.75" customHeight="1" x14ac:dyDescent="0.2"/>
    <row r="602" s="29" customFormat="1" ht="12.75" customHeight="1" x14ac:dyDescent="0.2"/>
    <row r="603" s="29" customFormat="1" ht="12.75" customHeight="1" x14ac:dyDescent="0.2"/>
    <row r="604" s="29" customFormat="1" ht="12.75" customHeight="1" x14ac:dyDescent="0.2"/>
    <row r="605" s="29" customFormat="1" ht="12.75" customHeight="1" x14ac:dyDescent="0.2"/>
    <row r="606" s="29" customFormat="1" ht="12.75" customHeight="1" x14ac:dyDescent="0.2"/>
    <row r="607" s="29" customFormat="1" ht="12.75" customHeight="1" x14ac:dyDescent="0.2"/>
    <row r="608" s="29" customFormat="1" ht="12.75" customHeight="1" x14ac:dyDescent="0.2"/>
    <row r="609" s="29" customFormat="1" ht="12.75" customHeight="1" x14ac:dyDescent="0.2"/>
    <row r="610" s="29" customFormat="1" ht="12.75" customHeight="1" x14ac:dyDescent="0.2"/>
    <row r="611" s="29" customFormat="1" ht="12.75" customHeight="1" x14ac:dyDescent="0.2"/>
    <row r="612" s="29" customFormat="1" ht="12.75" customHeight="1" x14ac:dyDescent="0.2"/>
    <row r="613" s="29" customFormat="1" ht="12.75" customHeight="1" x14ac:dyDescent="0.2"/>
    <row r="614" s="29" customFormat="1" ht="12.75" customHeight="1" x14ac:dyDescent="0.2"/>
    <row r="615" s="29" customFormat="1" ht="12.75" customHeight="1" x14ac:dyDescent="0.2"/>
    <row r="616" s="29" customFormat="1" ht="12.75" customHeight="1" x14ac:dyDescent="0.2"/>
    <row r="617" s="29" customFormat="1" ht="12.75" customHeight="1" x14ac:dyDescent="0.2"/>
    <row r="618" s="29" customFormat="1" ht="12.75" customHeight="1" x14ac:dyDescent="0.2"/>
    <row r="619" s="29" customFormat="1" ht="12.75" customHeight="1" x14ac:dyDescent="0.2"/>
    <row r="620" s="29" customFormat="1" ht="12.75" customHeight="1" x14ac:dyDescent="0.2"/>
    <row r="621" s="29" customFormat="1" ht="12.75" customHeight="1" x14ac:dyDescent="0.2"/>
    <row r="622" s="29" customFormat="1" ht="12.75" customHeight="1" x14ac:dyDescent="0.2"/>
    <row r="623" s="29" customFormat="1" ht="12.75" customHeight="1" x14ac:dyDescent="0.2"/>
    <row r="624" s="29" customFormat="1" ht="12.75" customHeight="1" x14ac:dyDescent="0.2"/>
    <row r="625" s="29" customFormat="1" ht="12.75" customHeight="1" x14ac:dyDescent="0.2"/>
    <row r="626" s="29" customFormat="1" ht="12.75" customHeight="1" x14ac:dyDescent="0.2"/>
    <row r="627" s="29" customFormat="1" ht="12.75" customHeight="1" x14ac:dyDescent="0.2"/>
    <row r="628" s="29" customFormat="1" ht="12.75" customHeight="1" x14ac:dyDescent="0.2"/>
    <row r="629" s="29" customFormat="1" ht="12.75" customHeight="1" x14ac:dyDescent="0.2"/>
    <row r="630" s="29" customFormat="1" ht="12.75" customHeight="1" x14ac:dyDescent="0.2"/>
    <row r="631" s="29" customFormat="1" ht="12.75" customHeight="1" x14ac:dyDescent="0.2"/>
    <row r="632" s="29" customFormat="1" ht="12.75" customHeight="1" x14ac:dyDescent="0.2"/>
    <row r="633" s="29" customFormat="1" ht="12.75" customHeight="1" x14ac:dyDescent="0.2"/>
    <row r="634" s="29" customFormat="1" ht="12.75" customHeight="1" x14ac:dyDescent="0.2"/>
    <row r="635" s="29" customFormat="1" ht="12.75" customHeight="1" x14ac:dyDescent="0.2"/>
    <row r="636" s="29" customFormat="1" ht="12.75" customHeight="1" x14ac:dyDescent="0.2"/>
    <row r="637" s="29" customFormat="1" ht="12.75" customHeight="1" x14ac:dyDescent="0.2"/>
    <row r="638" s="29" customFormat="1" ht="12.75" customHeight="1" x14ac:dyDescent="0.2"/>
    <row r="639" s="29" customFormat="1" ht="12.75" customHeight="1" x14ac:dyDescent="0.2"/>
    <row r="640" s="29" customFormat="1" ht="12.75" customHeight="1" x14ac:dyDescent="0.2"/>
    <row r="641" s="29" customFormat="1" ht="12.75" customHeight="1" x14ac:dyDescent="0.2"/>
    <row r="642" s="29" customFormat="1" ht="12.75" customHeight="1" x14ac:dyDescent="0.2"/>
    <row r="643" s="29" customFormat="1" ht="12.75" customHeight="1" x14ac:dyDescent="0.2"/>
    <row r="644" s="29" customFormat="1" ht="12.75" customHeight="1" x14ac:dyDescent="0.2"/>
    <row r="645" s="29" customFormat="1" ht="12.75" customHeight="1" x14ac:dyDescent="0.2"/>
    <row r="646" s="29" customFormat="1" ht="12.75" customHeight="1" x14ac:dyDescent="0.2"/>
    <row r="647" s="29" customFormat="1" ht="12.75" customHeight="1" x14ac:dyDescent="0.2"/>
    <row r="648" s="29" customFormat="1" ht="12.75" customHeight="1" x14ac:dyDescent="0.2"/>
    <row r="649" s="29" customFormat="1" ht="12.75" customHeight="1" x14ac:dyDescent="0.2"/>
    <row r="650" s="29" customFormat="1" ht="12.75" customHeight="1" x14ac:dyDescent="0.2"/>
    <row r="651" s="29" customFormat="1" ht="12.75" customHeight="1" x14ac:dyDescent="0.2"/>
    <row r="652" s="29" customFormat="1" ht="12.75" customHeight="1" x14ac:dyDescent="0.2"/>
    <row r="653" s="29" customFormat="1" ht="12.75" customHeight="1" x14ac:dyDescent="0.2"/>
    <row r="654" s="29" customFormat="1" ht="12.75" customHeight="1" x14ac:dyDescent="0.2"/>
    <row r="655" s="29" customFormat="1" ht="12.75" customHeight="1" x14ac:dyDescent="0.2"/>
    <row r="656" s="29" customFormat="1" ht="12.75" customHeight="1" x14ac:dyDescent="0.2"/>
    <row r="657" s="29" customFormat="1" ht="12.75" customHeight="1" x14ac:dyDescent="0.2"/>
    <row r="658" s="29" customFormat="1" ht="12.75" customHeight="1" x14ac:dyDescent="0.2"/>
    <row r="659" s="29" customFormat="1" ht="12.75" customHeight="1" x14ac:dyDescent="0.2"/>
    <row r="660" s="29" customFormat="1" ht="12.75" customHeight="1" x14ac:dyDescent="0.2"/>
    <row r="661" s="29" customFormat="1" ht="12.75" customHeight="1" x14ac:dyDescent="0.2"/>
    <row r="662" s="29" customFormat="1" ht="12.75" customHeight="1" x14ac:dyDescent="0.2"/>
    <row r="663" s="29" customFormat="1" ht="12.75" customHeight="1" x14ac:dyDescent="0.2"/>
    <row r="664" s="29" customFormat="1" ht="12.75" customHeight="1" x14ac:dyDescent="0.2"/>
    <row r="665" s="29" customFormat="1" ht="12.75" customHeight="1" x14ac:dyDescent="0.2"/>
    <row r="666" s="29" customFormat="1" ht="12.75" customHeight="1" x14ac:dyDescent="0.2"/>
    <row r="667" s="29" customFormat="1" ht="12.75" customHeight="1" x14ac:dyDescent="0.2"/>
    <row r="668" s="29" customFormat="1" ht="12.75" customHeight="1" x14ac:dyDescent="0.2"/>
    <row r="669" s="29" customFormat="1" ht="12.75" customHeight="1" x14ac:dyDescent="0.2"/>
    <row r="670" s="29" customFormat="1" ht="12.75" customHeight="1" x14ac:dyDescent="0.2"/>
    <row r="671" s="29" customFormat="1" ht="12.75" customHeight="1" x14ac:dyDescent="0.2"/>
    <row r="672" s="29" customFormat="1" ht="12.75" customHeight="1" x14ac:dyDescent="0.2"/>
    <row r="673" s="29" customFormat="1" ht="12.75" customHeight="1" x14ac:dyDescent="0.2"/>
    <row r="674" s="29" customFormat="1" ht="12.75" customHeight="1" x14ac:dyDescent="0.2"/>
    <row r="675" s="29" customFormat="1" ht="12.75" customHeight="1" x14ac:dyDescent="0.2"/>
    <row r="676" s="29" customFormat="1" ht="12.75" customHeight="1" x14ac:dyDescent="0.2"/>
    <row r="677" s="29" customFormat="1" ht="12.75" customHeight="1" x14ac:dyDescent="0.2"/>
    <row r="678" s="29" customFormat="1" ht="12.75" customHeight="1" x14ac:dyDescent="0.2"/>
    <row r="679" s="29" customFormat="1" ht="12.75" customHeight="1" x14ac:dyDescent="0.2"/>
    <row r="680" s="29" customFormat="1" ht="12.75" customHeight="1" x14ac:dyDescent="0.2"/>
    <row r="681" s="29" customFormat="1" ht="12.75" customHeight="1" x14ac:dyDescent="0.2"/>
    <row r="682" s="29" customFormat="1" ht="12.75" customHeight="1" x14ac:dyDescent="0.2"/>
    <row r="683" s="29" customFormat="1" ht="12.75" customHeight="1" x14ac:dyDescent="0.2"/>
    <row r="684" s="29" customFormat="1" ht="12.75" customHeight="1" x14ac:dyDescent="0.2"/>
    <row r="685" s="29" customFormat="1" ht="12.75" customHeight="1" x14ac:dyDescent="0.2"/>
    <row r="686" s="29" customFormat="1" ht="12.75" customHeight="1" x14ac:dyDescent="0.2"/>
    <row r="687" s="29" customFormat="1" ht="12.75" customHeight="1" x14ac:dyDescent="0.2"/>
    <row r="688" s="29" customFormat="1" ht="12.75" customHeight="1" x14ac:dyDescent="0.2"/>
    <row r="689" s="29" customFormat="1" ht="12.75" customHeight="1" x14ac:dyDescent="0.2"/>
    <row r="690" s="29" customFormat="1" ht="12.75" customHeight="1" x14ac:dyDescent="0.2"/>
    <row r="691" s="29" customFormat="1" ht="12.75" customHeight="1" x14ac:dyDescent="0.2"/>
    <row r="692" s="29" customFormat="1" ht="12.75" customHeight="1" x14ac:dyDescent="0.2"/>
    <row r="693" s="29" customFormat="1" ht="12.75" customHeight="1" x14ac:dyDescent="0.2"/>
    <row r="694" s="29" customFormat="1" ht="12.75" customHeight="1" x14ac:dyDescent="0.2"/>
    <row r="695" s="29" customFormat="1" ht="12.75" customHeight="1" x14ac:dyDescent="0.2"/>
    <row r="696" s="29" customFormat="1" ht="12.75" customHeight="1" x14ac:dyDescent="0.2"/>
    <row r="697" s="29" customFormat="1" ht="12.75" customHeight="1" x14ac:dyDescent="0.2"/>
    <row r="698" s="29" customFormat="1" ht="12.75" customHeight="1" x14ac:dyDescent="0.2"/>
    <row r="699" s="29" customFormat="1" ht="12.75" customHeight="1" x14ac:dyDescent="0.2"/>
    <row r="700" s="29" customFormat="1" ht="12.75" customHeight="1" x14ac:dyDescent="0.2"/>
    <row r="701" s="29" customFormat="1" ht="12.75" customHeight="1" x14ac:dyDescent="0.2"/>
    <row r="702" s="29" customFormat="1" ht="12.75" customHeight="1" x14ac:dyDescent="0.2"/>
    <row r="703" s="29" customFormat="1" ht="12.75" customHeight="1" x14ac:dyDescent="0.2"/>
    <row r="704" s="29" customFormat="1" ht="12.75" customHeight="1" x14ac:dyDescent="0.2"/>
    <row r="705" s="29" customFormat="1" ht="12.75" customHeight="1" x14ac:dyDescent="0.2"/>
    <row r="706" s="29" customFormat="1" ht="12.75" customHeight="1" x14ac:dyDescent="0.2"/>
    <row r="707" s="29" customFormat="1" ht="12.75" customHeight="1" x14ac:dyDescent="0.2"/>
    <row r="708" s="29" customFormat="1" ht="12.75" customHeight="1" x14ac:dyDescent="0.2"/>
    <row r="709" s="29" customFormat="1" ht="12.75" customHeight="1" x14ac:dyDescent="0.2"/>
    <row r="710" s="29" customFormat="1" ht="12.75" customHeight="1" x14ac:dyDescent="0.2"/>
    <row r="711" s="29" customFormat="1" ht="12.75" customHeight="1" x14ac:dyDescent="0.2"/>
    <row r="712" s="29" customFormat="1" ht="12.75" customHeight="1" x14ac:dyDescent="0.2"/>
    <row r="713" s="29" customFormat="1" ht="12.75" customHeight="1" x14ac:dyDescent="0.2"/>
    <row r="714" s="29" customFormat="1" ht="12.75" customHeight="1" x14ac:dyDescent="0.2"/>
    <row r="715" s="29" customFormat="1" ht="12.75" customHeight="1" x14ac:dyDescent="0.2"/>
    <row r="716" s="29" customFormat="1" ht="12.75" customHeight="1" x14ac:dyDescent="0.2"/>
    <row r="717" s="29" customFormat="1" ht="12.75" customHeight="1" x14ac:dyDescent="0.2"/>
    <row r="718" s="29" customFormat="1" ht="12.75" customHeight="1" x14ac:dyDescent="0.2"/>
    <row r="719" s="29" customFormat="1" ht="12.75" customHeight="1" x14ac:dyDescent="0.2"/>
    <row r="720" s="29" customFormat="1" ht="12.75" customHeight="1" x14ac:dyDescent="0.2"/>
    <row r="721" s="29" customFormat="1" ht="12.75" customHeight="1" x14ac:dyDescent="0.2"/>
    <row r="722" s="29" customFormat="1" ht="12.75" customHeight="1" x14ac:dyDescent="0.2"/>
    <row r="723" s="29" customFormat="1" ht="12.75" customHeight="1" x14ac:dyDescent="0.2"/>
    <row r="724" s="29" customFormat="1" ht="12.75" customHeight="1" x14ac:dyDescent="0.2"/>
    <row r="725" s="29" customFormat="1" ht="12.75" customHeight="1" x14ac:dyDescent="0.2"/>
    <row r="726" s="29" customFormat="1" ht="12.75" customHeight="1" x14ac:dyDescent="0.2"/>
    <row r="727" s="29" customFormat="1" ht="12.75" customHeight="1" x14ac:dyDescent="0.2"/>
    <row r="728" s="29" customFormat="1" ht="12.75" customHeight="1" x14ac:dyDescent="0.2"/>
    <row r="729" s="29" customFormat="1" ht="12.75" customHeight="1" x14ac:dyDescent="0.2"/>
    <row r="730" s="29" customFormat="1" ht="12.75" customHeight="1" x14ac:dyDescent="0.2"/>
    <row r="731" s="29" customFormat="1" ht="12.75" customHeight="1" x14ac:dyDescent="0.2"/>
    <row r="732" s="29" customFormat="1" ht="12.75" customHeight="1" x14ac:dyDescent="0.2"/>
    <row r="733" s="29" customFormat="1" ht="12.75" customHeight="1" x14ac:dyDescent="0.2"/>
    <row r="734" s="29" customFormat="1" ht="12.75" customHeight="1" x14ac:dyDescent="0.2"/>
    <row r="735" s="29" customFormat="1" ht="12.75" customHeight="1" x14ac:dyDescent="0.2"/>
    <row r="736" s="29" customFormat="1" ht="12.75" customHeight="1" x14ac:dyDescent="0.2"/>
    <row r="737" s="29" customFormat="1" ht="12.75" customHeight="1" x14ac:dyDescent="0.2"/>
    <row r="738" s="29" customFormat="1" ht="12.75" customHeight="1" x14ac:dyDescent="0.2"/>
    <row r="739" s="29" customFormat="1" ht="12.75" customHeight="1" x14ac:dyDescent="0.2"/>
    <row r="740" s="29" customFormat="1" ht="12.75" customHeight="1" x14ac:dyDescent="0.2"/>
    <row r="741" s="29" customFormat="1" ht="12.75" customHeight="1" x14ac:dyDescent="0.2"/>
    <row r="742" s="29" customFormat="1" ht="12.75" customHeight="1" x14ac:dyDescent="0.2"/>
    <row r="743" s="29" customFormat="1" ht="12.75" customHeight="1" x14ac:dyDescent="0.2"/>
    <row r="744" s="29" customFormat="1" ht="12.75" customHeight="1" x14ac:dyDescent="0.2"/>
    <row r="745" s="29" customFormat="1" ht="12.75" customHeight="1" x14ac:dyDescent="0.2"/>
    <row r="746" s="29" customFormat="1" ht="12.75" customHeight="1" x14ac:dyDescent="0.2"/>
    <row r="747" s="29" customFormat="1" ht="12.75" customHeight="1" x14ac:dyDescent="0.2"/>
    <row r="748" s="29" customFormat="1" ht="12.75" customHeight="1" x14ac:dyDescent="0.2"/>
    <row r="749" s="29" customFormat="1" ht="12.75" customHeight="1" x14ac:dyDescent="0.2"/>
    <row r="750" s="29" customFormat="1" ht="12.75" customHeight="1" x14ac:dyDescent="0.2"/>
    <row r="751" s="29" customFormat="1" ht="12.75" customHeight="1" x14ac:dyDescent="0.2"/>
    <row r="752" s="29" customFormat="1" ht="12.75" customHeight="1" x14ac:dyDescent="0.2"/>
    <row r="753" s="29" customFormat="1" ht="12.75" customHeight="1" x14ac:dyDescent="0.2"/>
    <row r="754" s="29" customFormat="1" ht="12.75" customHeight="1" x14ac:dyDescent="0.2"/>
    <row r="755" s="29" customFormat="1" ht="12.75" customHeight="1" x14ac:dyDescent="0.2"/>
    <row r="756" s="29" customFormat="1" ht="12.75" customHeight="1" x14ac:dyDescent="0.2"/>
    <row r="757" s="29" customFormat="1" ht="12.75" customHeight="1" x14ac:dyDescent="0.2"/>
    <row r="758" s="29" customFormat="1" ht="12.75" customHeight="1" x14ac:dyDescent="0.2"/>
    <row r="759" s="29" customFormat="1" ht="12.75" customHeight="1" x14ac:dyDescent="0.2"/>
    <row r="760" s="29" customFormat="1" ht="12.75" customHeight="1" x14ac:dyDescent="0.2"/>
    <row r="761" s="29" customFormat="1" ht="12.75" customHeight="1" x14ac:dyDescent="0.2"/>
    <row r="762" s="29" customFormat="1" ht="12.75" customHeight="1" x14ac:dyDescent="0.2"/>
    <row r="763" s="29" customFormat="1" ht="12.75" customHeight="1" x14ac:dyDescent="0.2"/>
    <row r="764" s="29" customFormat="1" ht="12.75" customHeight="1" x14ac:dyDescent="0.2"/>
    <row r="765" s="29" customFormat="1" ht="12.75" customHeight="1" x14ac:dyDescent="0.2"/>
    <row r="766" s="29" customFormat="1" ht="12.75" customHeight="1" x14ac:dyDescent="0.2"/>
    <row r="767" s="29" customFormat="1" ht="12.75" customHeight="1" x14ac:dyDescent="0.2"/>
    <row r="768" s="29" customFormat="1" ht="12.75" customHeight="1" x14ac:dyDescent="0.2"/>
    <row r="769" s="29" customFormat="1" ht="12.75" customHeight="1" x14ac:dyDescent="0.2"/>
    <row r="770" s="29" customFormat="1" ht="12.75" customHeight="1" x14ac:dyDescent="0.2"/>
    <row r="771" s="29" customFormat="1" ht="12.75" customHeight="1" x14ac:dyDescent="0.2"/>
    <row r="772" s="29" customFormat="1" ht="12.75" customHeight="1" x14ac:dyDescent="0.2"/>
    <row r="773" s="29" customFormat="1" ht="12.75" customHeight="1" x14ac:dyDescent="0.2"/>
    <row r="774" s="29" customFormat="1" ht="12.75" customHeight="1" x14ac:dyDescent="0.2"/>
    <row r="775" s="29" customFormat="1" ht="12.75" customHeight="1" x14ac:dyDescent="0.2"/>
    <row r="776" s="29" customFormat="1" ht="12.75" customHeight="1" x14ac:dyDescent="0.2"/>
    <row r="777" s="29" customFormat="1" ht="12.75" customHeight="1" x14ac:dyDescent="0.2"/>
    <row r="778" s="29" customFormat="1" ht="12.75" customHeight="1" x14ac:dyDescent="0.2"/>
    <row r="779" s="29" customFormat="1" ht="12.75" customHeight="1" x14ac:dyDescent="0.2"/>
    <row r="780" s="29" customFormat="1" ht="12.75" customHeight="1" x14ac:dyDescent="0.2"/>
    <row r="781" s="29" customFormat="1" ht="12.75" customHeight="1" x14ac:dyDescent="0.2"/>
    <row r="782" s="29" customFormat="1" ht="12.75" customHeight="1" x14ac:dyDescent="0.2"/>
    <row r="783" s="29" customFormat="1" ht="12.75" customHeight="1" x14ac:dyDescent="0.2"/>
    <row r="784" s="29" customFormat="1" ht="12.75" customHeight="1" x14ac:dyDescent="0.2"/>
    <row r="785" s="29" customFormat="1" ht="12.75" customHeight="1" x14ac:dyDescent="0.2"/>
    <row r="786" s="29" customFormat="1" ht="12.75" customHeight="1" x14ac:dyDescent="0.2"/>
    <row r="787" s="29" customFormat="1" ht="12.75" customHeight="1" x14ac:dyDescent="0.2"/>
    <row r="788" s="29" customFormat="1" ht="12.75" customHeight="1" x14ac:dyDescent="0.2"/>
    <row r="789" s="29" customFormat="1" ht="12.75" customHeight="1" x14ac:dyDescent="0.2"/>
    <row r="790" s="29" customFormat="1" ht="12.75" customHeight="1" x14ac:dyDescent="0.2"/>
    <row r="791" s="29" customFormat="1" ht="12.75" customHeight="1" x14ac:dyDescent="0.2"/>
    <row r="792" s="29" customFormat="1" ht="12.75" customHeight="1" x14ac:dyDescent="0.2"/>
    <row r="793" s="29" customFormat="1" ht="12.75" customHeight="1" x14ac:dyDescent="0.2"/>
    <row r="794" s="29" customFormat="1" ht="12.75" customHeight="1" x14ac:dyDescent="0.2"/>
    <row r="795" s="29" customFormat="1" ht="12.75" customHeight="1" x14ac:dyDescent="0.2"/>
    <row r="796" s="29" customFormat="1" ht="12.75" customHeight="1" x14ac:dyDescent="0.2"/>
    <row r="797" s="29" customFormat="1" ht="12.75" customHeight="1" x14ac:dyDescent="0.2"/>
    <row r="798" s="29" customFormat="1" ht="12.75" customHeight="1" x14ac:dyDescent="0.2"/>
    <row r="799" s="29" customFormat="1" ht="12.75" customHeight="1" x14ac:dyDescent="0.2"/>
    <row r="800" s="29" customFormat="1" ht="12.75" customHeight="1" x14ac:dyDescent="0.2"/>
    <row r="801" s="29" customFormat="1" ht="12.75" customHeight="1" x14ac:dyDescent="0.2"/>
    <row r="802" s="29" customFormat="1" ht="12.75" customHeight="1" x14ac:dyDescent="0.2"/>
    <row r="803" s="29" customFormat="1" ht="12.75" customHeight="1" x14ac:dyDescent="0.2"/>
    <row r="804" s="29" customFormat="1" ht="12.75" customHeight="1" x14ac:dyDescent="0.2"/>
    <row r="805" s="29" customFormat="1" ht="12.75" customHeight="1" x14ac:dyDescent="0.2"/>
    <row r="806" s="29" customFormat="1" ht="12.75" customHeight="1" x14ac:dyDescent="0.2"/>
    <row r="807" s="29" customFormat="1" ht="12.75" customHeight="1" x14ac:dyDescent="0.2"/>
    <row r="808" s="29" customFormat="1" ht="12.75" customHeight="1" x14ac:dyDescent="0.2"/>
    <row r="809" s="29" customFormat="1" ht="12.75" customHeight="1" x14ac:dyDescent="0.2"/>
    <row r="810" s="29" customFormat="1" ht="12.75" customHeight="1" x14ac:dyDescent="0.2"/>
    <row r="811" s="29" customFormat="1" ht="12.75" customHeight="1" x14ac:dyDescent="0.2"/>
    <row r="812" s="29" customFormat="1" ht="12.75" customHeight="1" x14ac:dyDescent="0.2"/>
    <row r="813" s="29" customFormat="1" ht="12.75" customHeight="1" x14ac:dyDescent="0.2"/>
    <row r="814" s="29" customFormat="1" ht="12.75" customHeight="1" x14ac:dyDescent="0.2"/>
    <row r="815" s="29" customFormat="1" ht="12.75" customHeight="1" x14ac:dyDescent="0.2"/>
    <row r="816" s="29" customFormat="1" ht="12.75" customHeight="1" x14ac:dyDescent="0.2"/>
    <row r="817" s="29" customFormat="1" ht="12.75" customHeight="1" x14ac:dyDescent="0.2"/>
    <row r="818" s="29" customFormat="1" ht="12.75" customHeight="1" x14ac:dyDescent="0.2"/>
    <row r="819" s="29" customFormat="1" ht="12.75" customHeight="1" x14ac:dyDescent="0.2"/>
    <row r="820" s="29" customFormat="1" ht="12.75" customHeight="1" x14ac:dyDescent="0.2"/>
    <row r="821" s="29" customFormat="1" ht="12.75" customHeight="1" x14ac:dyDescent="0.2"/>
    <row r="822" s="29" customFormat="1" ht="12.75" customHeight="1" x14ac:dyDescent="0.2"/>
    <row r="823" s="29" customFormat="1" ht="12.75" customHeight="1" x14ac:dyDescent="0.2"/>
    <row r="824" s="29" customFormat="1" ht="12.75" customHeight="1" x14ac:dyDescent="0.2"/>
    <row r="825" s="29" customFormat="1" ht="12.75" customHeight="1" x14ac:dyDescent="0.2"/>
    <row r="826" s="29" customFormat="1" ht="12.75" customHeight="1" x14ac:dyDescent="0.2"/>
    <row r="827" s="29" customFormat="1" ht="12.75" customHeight="1" x14ac:dyDescent="0.2"/>
    <row r="828" s="29" customFormat="1" ht="12.75" customHeight="1" x14ac:dyDescent="0.2"/>
    <row r="829" s="29" customFormat="1" ht="12.75" customHeight="1" x14ac:dyDescent="0.2"/>
    <row r="830" s="29" customFormat="1" ht="12.75" customHeight="1" x14ac:dyDescent="0.2"/>
    <row r="831" s="29" customFormat="1" ht="12.75" customHeight="1" x14ac:dyDescent="0.2"/>
    <row r="832" s="29" customFormat="1" ht="12.75" customHeight="1" x14ac:dyDescent="0.2"/>
    <row r="833" s="29" customFormat="1" ht="12.75" customHeight="1" x14ac:dyDescent="0.2"/>
    <row r="834" s="29" customFormat="1" ht="12.75" customHeight="1" x14ac:dyDescent="0.2"/>
    <row r="835" s="29" customFormat="1" ht="12.75" customHeight="1" x14ac:dyDescent="0.2"/>
    <row r="836" s="29" customFormat="1" ht="12.75" customHeight="1" x14ac:dyDescent="0.2"/>
    <row r="837" s="29" customFormat="1" ht="12.75" customHeight="1" x14ac:dyDescent="0.2"/>
    <row r="838" s="29" customFormat="1" ht="12.75" customHeight="1" x14ac:dyDescent="0.2"/>
    <row r="839" s="29" customFormat="1" ht="12.75" customHeight="1" x14ac:dyDescent="0.2"/>
    <row r="840" s="29" customFormat="1" ht="12.75" customHeight="1" x14ac:dyDescent="0.2"/>
    <row r="841" s="29" customFormat="1" ht="12.75" customHeight="1" x14ac:dyDescent="0.2"/>
    <row r="842" s="29" customFormat="1" ht="12.75" customHeight="1" x14ac:dyDescent="0.2"/>
    <row r="843" s="29" customFormat="1" ht="12.75" customHeight="1" x14ac:dyDescent="0.2"/>
    <row r="844" s="29" customFormat="1" ht="12.75" customHeight="1" x14ac:dyDescent="0.2"/>
    <row r="845" s="29" customFormat="1" ht="12.75" customHeight="1" x14ac:dyDescent="0.2"/>
    <row r="846" s="29" customFormat="1" ht="12.75" customHeight="1" x14ac:dyDescent="0.2"/>
    <row r="847" s="29" customFormat="1" ht="12.75" customHeight="1" x14ac:dyDescent="0.2"/>
    <row r="848" s="29" customFormat="1" ht="12.75" customHeight="1" x14ac:dyDescent="0.2"/>
    <row r="849" s="29" customFormat="1" ht="12.75" customHeight="1" x14ac:dyDescent="0.2"/>
    <row r="850" s="29" customFormat="1" ht="12.75" customHeight="1" x14ac:dyDescent="0.2"/>
    <row r="851" s="29" customFormat="1" ht="12.75" customHeight="1" x14ac:dyDescent="0.2"/>
    <row r="852" s="29" customFormat="1" ht="12.75" customHeight="1" x14ac:dyDescent="0.2"/>
    <row r="853" s="29" customFormat="1" ht="12.75" customHeight="1" x14ac:dyDescent="0.2"/>
    <row r="854" s="29" customFormat="1" ht="12.75" customHeight="1" x14ac:dyDescent="0.2"/>
    <row r="855" s="29" customFormat="1" ht="12.75" customHeight="1" x14ac:dyDescent="0.2"/>
    <row r="856" s="29" customFormat="1" ht="12.75" customHeight="1" x14ac:dyDescent="0.2"/>
    <row r="857" s="29" customFormat="1" ht="12.75" customHeight="1" x14ac:dyDescent="0.2"/>
    <row r="858" s="29" customFormat="1" ht="12.75" customHeight="1" x14ac:dyDescent="0.2"/>
    <row r="859" s="29" customFormat="1" ht="12.75" customHeight="1" x14ac:dyDescent="0.2"/>
    <row r="860" s="29" customFormat="1" ht="12.75" customHeight="1" x14ac:dyDescent="0.2"/>
    <row r="861" s="29" customFormat="1" ht="12.75" customHeight="1" x14ac:dyDescent="0.2"/>
    <row r="862" s="29" customFormat="1" ht="12.75" customHeight="1" x14ac:dyDescent="0.2"/>
    <row r="863" s="29" customFormat="1" ht="12.75" customHeight="1" x14ac:dyDescent="0.2"/>
    <row r="864" s="29" customFormat="1" ht="12.75" customHeight="1" x14ac:dyDescent="0.2"/>
    <row r="865" s="29" customFormat="1" ht="12.75" customHeight="1" x14ac:dyDescent="0.2"/>
    <row r="866" s="29" customFormat="1" ht="12.75" customHeight="1" x14ac:dyDescent="0.2"/>
    <row r="867" s="29" customFormat="1" ht="12.75" customHeight="1" x14ac:dyDescent="0.2"/>
    <row r="868" s="29" customFormat="1" ht="12.75" customHeight="1" x14ac:dyDescent="0.2"/>
    <row r="869" s="29" customFormat="1" ht="12.75" customHeight="1" x14ac:dyDescent="0.2"/>
    <row r="870" s="29" customFormat="1" ht="12.75" customHeight="1" x14ac:dyDescent="0.2"/>
    <row r="871" s="29" customFormat="1" ht="12.75" customHeight="1" x14ac:dyDescent="0.2"/>
    <row r="872" s="29" customFormat="1" ht="12.75" customHeight="1" x14ac:dyDescent="0.2"/>
    <row r="873" s="29" customFormat="1" ht="12.75" customHeight="1" x14ac:dyDescent="0.2"/>
    <row r="874" s="29" customFormat="1" ht="12.75" customHeight="1" x14ac:dyDescent="0.2"/>
    <row r="875" s="29" customFormat="1" ht="12.75" customHeight="1" x14ac:dyDescent="0.2"/>
    <row r="876" s="29" customFormat="1" ht="12.75" customHeight="1" x14ac:dyDescent="0.2"/>
    <row r="877" s="29" customFormat="1" ht="12.75" customHeight="1" x14ac:dyDescent="0.2"/>
    <row r="878" s="29" customFormat="1" ht="12.75" customHeight="1" x14ac:dyDescent="0.2"/>
    <row r="879" s="29" customFormat="1" ht="12.75" customHeight="1" x14ac:dyDescent="0.2"/>
    <row r="880" s="29" customFormat="1" ht="12.75" customHeight="1" x14ac:dyDescent="0.2"/>
    <row r="881" s="29" customFormat="1" ht="12.75" customHeight="1" x14ac:dyDescent="0.2"/>
    <row r="882" s="29" customFormat="1" ht="12.75" customHeight="1" x14ac:dyDescent="0.2"/>
    <row r="883" s="29" customFormat="1" ht="12.75" customHeight="1" x14ac:dyDescent="0.2"/>
    <row r="884" s="29" customFormat="1" ht="12.75" customHeight="1" x14ac:dyDescent="0.2"/>
    <row r="885" s="29" customFormat="1" ht="12.75" customHeight="1" x14ac:dyDescent="0.2"/>
    <row r="886" s="29" customFormat="1" ht="12.75" customHeight="1" x14ac:dyDescent="0.2"/>
    <row r="887" s="29" customFormat="1" ht="12.75" customHeight="1" x14ac:dyDescent="0.2"/>
    <row r="888" s="29" customFormat="1" ht="12.75" customHeight="1" x14ac:dyDescent="0.2"/>
    <row r="889" s="29" customFormat="1" ht="12.75" customHeight="1" x14ac:dyDescent="0.2"/>
    <row r="890" s="29" customFormat="1" ht="12.75" customHeight="1" x14ac:dyDescent="0.2"/>
    <row r="891" s="29" customFormat="1" ht="12.75" customHeight="1" x14ac:dyDescent="0.2"/>
    <row r="892" s="29" customFormat="1" ht="12.75" customHeight="1" x14ac:dyDescent="0.2"/>
    <row r="893" s="29" customFormat="1" ht="12.75" customHeight="1" x14ac:dyDescent="0.2"/>
    <row r="894" s="29" customFormat="1" ht="12.75" customHeight="1" x14ac:dyDescent="0.2"/>
    <row r="895" s="29" customFormat="1" ht="12.75" customHeight="1" x14ac:dyDescent="0.2"/>
    <row r="896" s="29" customFormat="1" ht="12.75" customHeight="1" x14ac:dyDescent="0.2"/>
    <row r="897" s="29" customFormat="1" ht="12.75" customHeight="1" x14ac:dyDescent="0.2"/>
    <row r="898" s="29" customFormat="1" ht="12.75" customHeight="1" x14ac:dyDescent="0.2"/>
    <row r="899" s="29" customFormat="1" ht="12.75" customHeight="1" x14ac:dyDescent="0.2"/>
    <row r="900" s="29" customFormat="1" ht="12.75" customHeight="1" x14ac:dyDescent="0.2"/>
    <row r="901" s="29" customFormat="1" ht="12.75" customHeight="1" x14ac:dyDescent="0.2"/>
    <row r="902" s="29" customFormat="1" ht="12.75" customHeight="1" x14ac:dyDescent="0.2"/>
    <row r="903" s="29" customFormat="1" ht="12.75" customHeight="1" x14ac:dyDescent="0.2"/>
    <row r="904" s="29" customFormat="1" ht="12.75" customHeight="1" x14ac:dyDescent="0.2"/>
    <row r="905" s="29" customFormat="1" ht="12.75" customHeight="1" x14ac:dyDescent="0.2"/>
    <row r="906" s="29" customFormat="1" ht="12.75" customHeight="1" x14ac:dyDescent="0.2"/>
    <row r="907" s="29" customFormat="1" ht="12.75" customHeight="1" x14ac:dyDescent="0.2"/>
    <row r="908" s="29" customFormat="1" ht="12.75" customHeight="1" x14ac:dyDescent="0.2"/>
    <row r="909" s="29" customFormat="1" ht="12.75" customHeight="1" x14ac:dyDescent="0.2"/>
    <row r="910" s="29" customFormat="1" ht="12.75" customHeight="1" x14ac:dyDescent="0.2"/>
    <row r="911" s="29" customFormat="1" ht="12.75" customHeight="1" x14ac:dyDescent="0.2"/>
    <row r="912" s="29" customFormat="1" ht="12.75" customHeight="1" x14ac:dyDescent="0.2"/>
    <row r="913" s="29" customFormat="1" ht="12.75" customHeight="1" x14ac:dyDescent="0.2"/>
    <row r="914" s="29" customFormat="1" ht="12.75" customHeight="1" x14ac:dyDescent="0.2"/>
    <row r="915" s="29" customFormat="1" ht="12.75" customHeight="1" x14ac:dyDescent="0.2"/>
    <row r="916" s="29" customFormat="1" ht="12.75" customHeight="1" x14ac:dyDescent="0.2"/>
    <row r="917" s="29" customFormat="1" ht="12.75" customHeight="1" x14ac:dyDescent="0.2"/>
    <row r="918" s="29" customFormat="1" ht="12.75" customHeight="1" x14ac:dyDescent="0.2"/>
    <row r="919" s="29" customFormat="1" ht="12.75" customHeight="1" x14ac:dyDescent="0.2"/>
    <row r="920" s="29" customFormat="1" ht="12.75" customHeight="1" x14ac:dyDescent="0.2"/>
    <row r="921" s="29" customFormat="1" ht="12.75" customHeight="1" x14ac:dyDescent="0.2"/>
    <row r="922" s="29" customFormat="1" ht="12.75" customHeight="1" x14ac:dyDescent="0.2"/>
    <row r="923" s="29" customFormat="1" ht="12.75" customHeight="1" x14ac:dyDescent="0.2"/>
    <row r="924" s="29" customFormat="1" ht="12.75" customHeight="1" x14ac:dyDescent="0.2"/>
    <row r="925" s="29" customFormat="1" ht="12.75" customHeight="1" x14ac:dyDescent="0.2"/>
    <row r="926" s="29" customFormat="1" ht="12.75" customHeight="1" x14ac:dyDescent="0.2"/>
    <row r="927" s="29" customFormat="1" ht="12.75" customHeight="1" x14ac:dyDescent="0.2"/>
    <row r="928" s="29" customFormat="1" ht="12.75" customHeight="1" x14ac:dyDescent="0.2"/>
    <row r="929" s="29" customFormat="1" ht="12.75" customHeight="1" x14ac:dyDescent="0.2"/>
    <row r="930" s="29" customFormat="1" ht="12.75" customHeight="1" x14ac:dyDescent="0.2"/>
    <row r="931" s="29" customFormat="1" ht="12.75" customHeight="1" x14ac:dyDescent="0.2"/>
    <row r="932" s="29" customFormat="1" ht="12.75" customHeight="1" x14ac:dyDescent="0.2"/>
    <row r="933" s="29" customFormat="1" ht="12.75" customHeight="1" x14ac:dyDescent="0.2"/>
    <row r="934" s="29" customFormat="1" ht="12.75" customHeight="1" x14ac:dyDescent="0.2"/>
    <row r="935" s="29" customFormat="1" ht="12.75" customHeight="1" x14ac:dyDescent="0.2"/>
    <row r="936" s="29" customFormat="1" ht="12.75" customHeight="1" x14ac:dyDescent="0.2"/>
    <row r="937" s="29" customFormat="1" ht="12.75" customHeight="1" x14ac:dyDescent="0.2"/>
    <row r="938" s="29" customFormat="1" ht="12.75" customHeight="1" x14ac:dyDescent="0.2"/>
    <row r="939" s="29" customFormat="1" ht="12.75" customHeight="1" x14ac:dyDescent="0.2"/>
    <row r="940" s="29" customFormat="1" ht="12.75" customHeight="1" x14ac:dyDescent="0.2"/>
    <row r="941" s="29" customFormat="1" ht="12.75" customHeight="1" x14ac:dyDescent="0.2"/>
    <row r="942" s="29" customFormat="1" ht="12.75" customHeight="1" x14ac:dyDescent="0.2"/>
    <row r="943" s="29" customFormat="1" ht="12.75" customHeight="1" x14ac:dyDescent="0.2"/>
    <row r="944" s="29" customFormat="1" ht="12.75" customHeight="1" x14ac:dyDescent="0.2"/>
    <row r="945" s="29" customFormat="1" ht="12.75" customHeight="1" x14ac:dyDescent="0.2"/>
    <row r="946" s="29" customFormat="1" ht="12.75" customHeight="1" x14ac:dyDescent="0.2"/>
    <row r="947" s="29" customFormat="1" ht="12.75" customHeight="1" x14ac:dyDescent="0.2"/>
    <row r="948" s="29" customFormat="1" ht="12.75" customHeight="1" x14ac:dyDescent="0.2"/>
    <row r="949" s="29" customFormat="1" ht="12.75" customHeight="1" x14ac:dyDescent="0.2"/>
    <row r="950" s="29" customFormat="1" ht="12.75" customHeight="1" x14ac:dyDescent="0.2"/>
    <row r="951" s="29" customFormat="1" ht="12.75" customHeight="1" x14ac:dyDescent="0.2"/>
    <row r="952" s="29" customFormat="1" ht="12.75" customHeight="1" x14ac:dyDescent="0.2"/>
    <row r="953" s="29" customFormat="1" ht="12.75" customHeight="1" x14ac:dyDescent="0.2"/>
    <row r="954" s="29" customFormat="1" ht="12.75" customHeight="1" x14ac:dyDescent="0.2"/>
    <row r="955" s="29" customFormat="1" ht="12.75" customHeight="1" x14ac:dyDescent="0.2"/>
    <row r="956" s="29" customFormat="1" ht="12.75" customHeight="1" x14ac:dyDescent="0.2"/>
    <row r="957" s="29" customFormat="1" ht="12.75" customHeight="1" x14ac:dyDescent="0.2"/>
    <row r="958" s="29" customFormat="1" ht="12.75" customHeight="1" x14ac:dyDescent="0.2"/>
    <row r="959" s="29" customFormat="1" ht="12.75" customHeight="1" x14ac:dyDescent="0.2"/>
    <row r="960" s="29" customFormat="1" ht="12.75" customHeight="1" x14ac:dyDescent="0.2"/>
    <row r="961" s="29" customFormat="1" ht="12.75" customHeight="1" x14ac:dyDescent="0.2"/>
    <row r="962" s="29" customFormat="1" ht="12.75" customHeight="1" x14ac:dyDescent="0.2"/>
    <row r="963" s="29" customFormat="1" ht="12.75" customHeight="1" x14ac:dyDescent="0.2"/>
    <row r="964" s="29" customFormat="1" ht="12.75" customHeight="1" x14ac:dyDescent="0.2"/>
    <row r="965" s="29" customFormat="1" ht="12.75" customHeight="1" x14ac:dyDescent="0.2"/>
    <row r="966" s="29" customFormat="1" ht="12.75" customHeight="1" x14ac:dyDescent="0.2"/>
    <row r="967" s="29" customFormat="1" ht="12.75" customHeight="1" x14ac:dyDescent="0.2"/>
    <row r="968" s="29" customFormat="1" ht="12.75" customHeight="1" x14ac:dyDescent="0.2"/>
    <row r="969" s="29" customFormat="1" ht="12.75" customHeight="1" x14ac:dyDescent="0.2"/>
    <row r="970" s="29" customFormat="1" ht="12.75" customHeight="1" x14ac:dyDescent="0.2"/>
    <row r="971" s="29" customFormat="1" ht="12.75" customHeight="1" x14ac:dyDescent="0.2"/>
    <row r="972" s="29" customFormat="1" ht="12.75" customHeight="1" x14ac:dyDescent="0.2"/>
    <row r="973" s="29" customFormat="1" ht="12.75" customHeight="1" x14ac:dyDescent="0.2"/>
    <row r="974" s="29" customFormat="1" ht="12.75" customHeight="1" x14ac:dyDescent="0.2"/>
    <row r="975" s="29" customFormat="1" ht="12.75" customHeight="1" x14ac:dyDescent="0.2"/>
    <row r="976" s="29" customFormat="1" ht="12.75" customHeight="1" x14ac:dyDescent="0.2"/>
    <row r="977" s="29" customFormat="1" ht="12.75" customHeight="1" x14ac:dyDescent="0.2"/>
    <row r="978" s="29" customFormat="1" ht="12.75" customHeight="1" x14ac:dyDescent="0.2"/>
    <row r="979" s="29" customFormat="1" ht="12.75" customHeight="1" x14ac:dyDescent="0.2"/>
    <row r="980" s="29" customFormat="1" ht="12.75" customHeight="1" x14ac:dyDescent="0.2"/>
    <row r="981" s="29" customFormat="1" ht="12.75" customHeight="1" x14ac:dyDescent="0.2"/>
    <row r="982" s="29" customFormat="1" ht="12.75" customHeight="1" x14ac:dyDescent="0.2"/>
    <row r="983" s="29" customFormat="1" ht="12.75" customHeight="1" x14ac:dyDescent="0.2"/>
    <row r="984" s="29" customFormat="1" ht="12.75" customHeight="1" x14ac:dyDescent="0.2"/>
    <row r="985" s="29" customFormat="1" ht="12.75" customHeight="1" x14ac:dyDescent="0.2"/>
    <row r="986" s="29" customFormat="1" ht="12.75" customHeight="1" x14ac:dyDescent="0.2"/>
  </sheetData>
  <sheetProtection algorithmName="SHA-512" hashValue="lSFo8/nCIWOodhYd75en6OEAro2NAhUymTYg+ZYlzbFV5E+8XqKpPcc3pnwnWaogwuGg8l73ARpjR5sfbAMl+w==" saltValue="T0qVl0OUAMF5YcpqFxekZg==" spinCount="100000" sheet="1" objects="1" scenarios="1"/>
  <mergeCells count="4">
    <mergeCell ref="C31:O31"/>
    <mergeCell ref="C2:F2"/>
    <mergeCell ref="C16:P16"/>
    <mergeCell ref="E9:F10"/>
  </mergeCells>
  <pageMargins left="0.35433070866141736" right="0.35433070866141736" top="0.78740157480314965" bottom="0.78740157480314965" header="0.51181102362204722" footer="0.51181102362204722"/>
  <pageSetup paperSize="9"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1016"/>
  <sheetViews>
    <sheetView showGridLines="0" showRowColHeaders="0" zoomScaleNormal="100" workbookViewId="0">
      <pane xSplit="3" ySplit="1" topLeftCell="D2" activePane="bottomRight" state="frozen"/>
      <selection pane="topRight" activeCell="B1" sqref="B1"/>
      <selection pane="bottomLeft" activeCell="A2" sqref="A2"/>
      <selection pane="bottomRight" activeCell="D3" sqref="D3"/>
    </sheetView>
  </sheetViews>
  <sheetFormatPr baseColWidth="10" defaultColWidth="14.5703125" defaultRowHeight="12.75" x14ac:dyDescent="0.2"/>
  <cols>
    <col min="1" max="2" width="1.28515625" style="29" customWidth="1"/>
    <col min="3" max="3" width="47.28515625" style="29" customWidth="1"/>
    <col min="4" max="4" width="21" style="29" customWidth="1"/>
    <col min="5" max="15" width="12.140625" style="29" hidden="1" customWidth="1"/>
    <col min="16" max="16" width="14.28515625" style="29" hidden="1" customWidth="1"/>
    <col min="17" max="17" width="10.7109375" style="29" hidden="1" customWidth="1"/>
    <col min="18" max="28" width="10.7109375" style="29" customWidth="1"/>
    <col min="29" max="16384" width="14.5703125" style="29"/>
  </cols>
  <sheetData>
    <row r="1" spans="3:16" s="110" customFormat="1" ht="15.75" customHeight="1" x14ac:dyDescent="0.2">
      <c r="C1" s="227" t="s">
        <v>0</v>
      </c>
      <c r="D1" s="228" t="s">
        <v>447</v>
      </c>
      <c r="E1" s="228" t="s">
        <v>2</v>
      </c>
      <c r="F1" s="228" t="s">
        <v>3</v>
      </c>
      <c r="G1" s="228" t="s">
        <v>4</v>
      </c>
      <c r="H1" s="228" t="s">
        <v>5</v>
      </c>
      <c r="I1" s="228" t="s">
        <v>6</v>
      </c>
      <c r="J1" s="228" t="s">
        <v>7</v>
      </c>
      <c r="K1" s="228" t="s">
        <v>8</v>
      </c>
      <c r="L1" s="228" t="s">
        <v>9</v>
      </c>
      <c r="M1" s="228" t="s">
        <v>10</v>
      </c>
      <c r="N1" s="228" t="s">
        <v>11</v>
      </c>
      <c r="O1" s="228" t="s">
        <v>12</v>
      </c>
      <c r="P1" s="229" t="s">
        <v>13</v>
      </c>
    </row>
    <row r="2" spans="3:16" ht="12.75" customHeight="1" x14ac:dyDescent="0.2">
      <c r="C2" s="230" t="s">
        <v>124</v>
      </c>
      <c r="D2" s="23">
        <v>0</v>
      </c>
      <c r="E2" s="231">
        <f>Table_1[[#This Row],[importe mensual]]</f>
        <v>0</v>
      </c>
      <c r="F2" s="231">
        <f>Table_1[[#This Row],[Febrero]]</f>
        <v>0</v>
      </c>
      <c r="G2" s="231">
        <f>Table_1[[#This Row],[Marzo]]</f>
        <v>0</v>
      </c>
      <c r="H2" s="231">
        <f>Table_1[[#This Row],[Abril]]</f>
        <v>0</v>
      </c>
      <c r="I2" s="231">
        <f>Table_1[[#This Row],[Mayo]]</f>
        <v>0</v>
      </c>
      <c r="J2" s="231">
        <f>Table_1[[#This Row],[Junio]]</f>
        <v>0</v>
      </c>
      <c r="K2" s="231">
        <f>Table_1[[#This Row],[Julio]]</f>
        <v>0</v>
      </c>
      <c r="L2" s="231">
        <f>Table_1[[#This Row],[Agosto]]</f>
        <v>0</v>
      </c>
      <c r="M2" s="231">
        <f>Table_1[[#This Row],[Septiembre]]</f>
        <v>0</v>
      </c>
      <c r="N2" s="231">
        <f>Table_1[[#This Row],[Octubre]]</f>
        <v>0</v>
      </c>
      <c r="O2" s="231">
        <f>Table_1[[#This Row],[Noviembre]]</f>
        <v>0</v>
      </c>
      <c r="P2" s="232">
        <f>+SUM($D2:$O2)</f>
        <v>0</v>
      </c>
    </row>
    <row r="3" spans="3:16" ht="12.75" customHeight="1" x14ac:dyDescent="0.2">
      <c r="C3" s="230" t="s">
        <v>14</v>
      </c>
      <c r="D3" s="23">
        <v>0</v>
      </c>
      <c r="E3" s="231">
        <f>Table_1[[#This Row],[importe mensual]]</f>
        <v>0</v>
      </c>
      <c r="F3" s="231">
        <f>Table_1[[#This Row],[Febrero]]</f>
        <v>0</v>
      </c>
      <c r="G3" s="231">
        <f>Table_1[[#This Row],[Marzo]]</f>
        <v>0</v>
      </c>
      <c r="H3" s="231">
        <f>Table_1[[#This Row],[Abril]]</f>
        <v>0</v>
      </c>
      <c r="I3" s="231">
        <f>Table_1[[#This Row],[Mayo]]</f>
        <v>0</v>
      </c>
      <c r="J3" s="231">
        <f>Table_1[[#This Row],[Junio]]</f>
        <v>0</v>
      </c>
      <c r="K3" s="231">
        <f>Table_1[[#This Row],[Julio]]</f>
        <v>0</v>
      </c>
      <c r="L3" s="231">
        <f>Table_1[[#This Row],[Agosto]]</f>
        <v>0</v>
      </c>
      <c r="M3" s="231">
        <f>Table_1[[#This Row],[Septiembre]]</f>
        <v>0</v>
      </c>
      <c r="N3" s="231">
        <f>Table_1[[#This Row],[Octubre]]</f>
        <v>0</v>
      </c>
      <c r="O3" s="231">
        <f>Table_1[[#This Row],[Noviembre]]</f>
        <v>0</v>
      </c>
      <c r="P3" s="232">
        <f t="shared" ref="P3:P19" si="0">+SUM($D3:$O3)</f>
        <v>0</v>
      </c>
    </row>
    <row r="4" spans="3:16" ht="12.75" customHeight="1" x14ac:dyDescent="0.2">
      <c r="C4" s="230" t="s">
        <v>64</v>
      </c>
      <c r="D4" s="23">
        <v>0</v>
      </c>
      <c r="E4" s="231">
        <f>Table_1[[#This Row],[importe mensual]]</f>
        <v>0</v>
      </c>
      <c r="F4" s="231">
        <f>Table_1[[#This Row],[Febrero]]</f>
        <v>0</v>
      </c>
      <c r="G4" s="231">
        <f>Table_1[[#This Row],[Marzo]]</f>
        <v>0</v>
      </c>
      <c r="H4" s="231">
        <f>Table_1[[#This Row],[Abril]]</f>
        <v>0</v>
      </c>
      <c r="I4" s="231">
        <f>Table_1[[#This Row],[Mayo]]</f>
        <v>0</v>
      </c>
      <c r="J4" s="231">
        <f>Table_1[[#This Row],[Junio]]</f>
        <v>0</v>
      </c>
      <c r="K4" s="231">
        <f>Table_1[[#This Row],[Julio]]</f>
        <v>0</v>
      </c>
      <c r="L4" s="231">
        <f>Table_1[[#This Row],[Agosto]]</f>
        <v>0</v>
      </c>
      <c r="M4" s="231">
        <f>Table_1[[#This Row],[Septiembre]]</f>
        <v>0</v>
      </c>
      <c r="N4" s="231">
        <f>Table_1[[#This Row],[Octubre]]</f>
        <v>0</v>
      </c>
      <c r="O4" s="231">
        <f>Table_1[[#This Row],[Noviembre]]</f>
        <v>0</v>
      </c>
      <c r="P4" s="232">
        <f t="shared" si="0"/>
        <v>0</v>
      </c>
    </row>
    <row r="5" spans="3:16" ht="12.75" customHeight="1" x14ac:dyDescent="0.2">
      <c r="C5" s="230" t="s">
        <v>15</v>
      </c>
      <c r="D5" s="23">
        <v>0</v>
      </c>
      <c r="E5" s="231">
        <f>Table_1[[#This Row],[importe mensual]]</f>
        <v>0</v>
      </c>
      <c r="F5" s="231">
        <f>Table_1[[#This Row],[Febrero]]</f>
        <v>0</v>
      </c>
      <c r="G5" s="231">
        <f>Table_1[[#This Row],[Marzo]]</f>
        <v>0</v>
      </c>
      <c r="H5" s="231">
        <f>Table_1[[#This Row],[Abril]]</f>
        <v>0</v>
      </c>
      <c r="I5" s="231">
        <f>Table_1[[#This Row],[Mayo]]</f>
        <v>0</v>
      </c>
      <c r="J5" s="231">
        <f>Table_1[[#This Row],[Junio]]</f>
        <v>0</v>
      </c>
      <c r="K5" s="231">
        <f>Table_1[[#This Row],[Julio]]</f>
        <v>0</v>
      </c>
      <c r="L5" s="231">
        <f>Table_1[[#This Row],[Agosto]]</f>
        <v>0</v>
      </c>
      <c r="M5" s="231">
        <f>Table_1[[#This Row],[Septiembre]]</f>
        <v>0</v>
      </c>
      <c r="N5" s="231">
        <f>Table_1[[#This Row],[Octubre]]</f>
        <v>0</v>
      </c>
      <c r="O5" s="231">
        <f>Table_1[[#This Row],[Noviembre]]</f>
        <v>0</v>
      </c>
      <c r="P5" s="232">
        <f t="shared" si="0"/>
        <v>0</v>
      </c>
    </row>
    <row r="6" spans="3:16" ht="12.75" customHeight="1" x14ac:dyDescent="0.2">
      <c r="C6" s="233" t="s">
        <v>394</v>
      </c>
      <c r="D6" s="23">
        <v>0</v>
      </c>
      <c r="E6" s="231">
        <f>Table_1[[#This Row],[importe mensual]]</f>
        <v>0</v>
      </c>
      <c r="F6" s="231">
        <f>Table_1[[#This Row],[Febrero]]</f>
        <v>0</v>
      </c>
      <c r="G6" s="231">
        <f>Table_1[[#This Row],[Marzo]]</f>
        <v>0</v>
      </c>
      <c r="H6" s="231">
        <f>Table_1[[#This Row],[Abril]]</f>
        <v>0</v>
      </c>
      <c r="I6" s="231">
        <f>Table_1[[#This Row],[Mayo]]</f>
        <v>0</v>
      </c>
      <c r="J6" s="231">
        <f>Table_1[[#This Row],[Junio]]</f>
        <v>0</v>
      </c>
      <c r="K6" s="231">
        <f>Table_1[[#This Row],[Julio]]</f>
        <v>0</v>
      </c>
      <c r="L6" s="231">
        <f>Table_1[[#This Row],[Agosto]]</f>
        <v>0</v>
      </c>
      <c r="M6" s="231">
        <f>Table_1[[#This Row],[Septiembre]]</f>
        <v>0</v>
      </c>
      <c r="N6" s="231">
        <f>Table_1[[#This Row],[Octubre]]</f>
        <v>0</v>
      </c>
      <c r="O6" s="231">
        <f>Table_1[[#This Row],[Noviembre]]</f>
        <v>0</v>
      </c>
      <c r="P6" s="232">
        <f t="shared" si="0"/>
        <v>0</v>
      </c>
    </row>
    <row r="7" spans="3:16" ht="12.75" customHeight="1" x14ac:dyDescent="0.2">
      <c r="C7" s="233" t="s">
        <v>395</v>
      </c>
      <c r="D7" s="23">
        <v>0</v>
      </c>
      <c r="E7" s="231">
        <f>Table_1[[#This Row],[importe mensual]]</f>
        <v>0</v>
      </c>
      <c r="F7" s="231">
        <f>Table_1[[#This Row],[Febrero]]</f>
        <v>0</v>
      </c>
      <c r="G7" s="231">
        <f>Table_1[[#This Row],[Marzo]]</f>
        <v>0</v>
      </c>
      <c r="H7" s="231">
        <f>Table_1[[#This Row],[Abril]]</f>
        <v>0</v>
      </c>
      <c r="I7" s="231">
        <f>Table_1[[#This Row],[Mayo]]</f>
        <v>0</v>
      </c>
      <c r="J7" s="231">
        <f>Table_1[[#This Row],[Junio]]</f>
        <v>0</v>
      </c>
      <c r="K7" s="231">
        <f>Table_1[[#This Row],[Julio]]</f>
        <v>0</v>
      </c>
      <c r="L7" s="231">
        <f>Table_1[[#This Row],[Agosto]]</f>
        <v>0</v>
      </c>
      <c r="M7" s="231">
        <f>Table_1[[#This Row],[Septiembre]]</f>
        <v>0</v>
      </c>
      <c r="N7" s="231">
        <f>Table_1[[#This Row],[Octubre]]</f>
        <v>0</v>
      </c>
      <c r="O7" s="231">
        <f>Table_1[[#This Row],[Noviembre]]</f>
        <v>0</v>
      </c>
      <c r="P7" s="232">
        <f t="shared" si="0"/>
        <v>0</v>
      </c>
    </row>
    <row r="8" spans="3:16" ht="12.75" customHeight="1" x14ac:dyDescent="0.2">
      <c r="C8" s="234" t="s">
        <v>396</v>
      </c>
      <c r="D8" s="23">
        <v>0</v>
      </c>
      <c r="E8" s="231">
        <f>Table_1[[#This Row],[importe mensual]]</f>
        <v>0</v>
      </c>
      <c r="F8" s="231">
        <f>Table_1[[#This Row],[Febrero]]</f>
        <v>0</v>
      </c>
      <c r="G8" s="231">
        <f>Table_1[[#This Row],[Marzo]]</f>
        <v>0</v>
      </c>
      <c r="H8" s="231">
        <f>Table_1[[#This Row],[Abril]]</f>
        <v>0</v>
      </c>
      <c r="I8" s="231">
        <f>Table_1[[#This Row],[Mayo]]</f>
        <v>0</v>
      </c>
      <c r="J8" s="231">
        <f>Table_1[[#This Row],[Junio]]</f>
        <v>0</v>
      </c>
      <c r="K8" s="231">
        <f>Table_1[[#This Row],[Julio]]</f>
        <v>0</v>
      </c>
      <c r="L8" s="231">
        <f>Table_1[[#This Row],[Agosto]]</f>
        <v>0</v>
      </c>
      <c r="M8" s="231">
        <f>Table_1[[#This Row],[Septiembre]]</f>
        <v>0</v>
      </c>
      <c r="N8" s="231">
        <f>Table_1[[#This Row],[Octubre]]</f>
        <v>0</v>
      </c>
      <c r="O8" s="231">
        <f>Table_1[[#This Row],[Noviembre]]</f>
        <v>0</v>
      </c>
      <c r="P8" s="232">
        <f t="shared" si="0"/>
        <v>0</v>
      </c>
    </row>
    <row r="9" spans="3:16" ht="12.75" customHeight="1" x14ac:dyDescent="0.2">
      <c r="C9" s="234" t="s">
        <v>397</v>
      </c>
      <c r="D9" s="23">
        <v>0</v>
      </c>
      <c r="E9" s="231">
        <f>Table_1[[#This Row],[importe mensual]]</f>
        <v>0</v>
      </c>
      <c r="F9" s="231">
        <f>Table_1[[#This Row],[Febrero]]</f>
        <v>0</v>
      </c>
      <c r="G9" s="231">
        <f>Table_1[[#This Row],[Marzo]]</f>
        <v>0</v>
      </c>
      <c r="H9" s="231">
        <f>Table_1[[#This Row],[Abril]]</f>
        <v>0</v>
      </c>
      <c r="I9" s="231">
        <f>Table_1[[#This Row],[Mayo]]</f>
        <v>0</v>
      </c>
      <c r="J9" s="231">
        <f>Table_1[[#This Row],[Junio]]</f>
        <v>0</v>
      </c>
      <c r="K9" s="231">
        <f>Table_1[[#This Row],[Julio]]</f>
        <v>0</v>
      </c>
      <c r="L9" s="231">
        <f>Table_1[[#This Row],[Agosto]]</f>
        <v>0</v>
      </c>
      <c r="M9" s="231">
        <f>Table_1[[#This Row],[Septiembre]]</f>
        <v>0</v>
      </c>
      <c r="N9" s="231">
        <f>Table_1[[#This Row],[Octubre]]</f>
        <v>0</v>
      </c>
      <c r="O9" s="231">
        <f>Table_1[[#This Row],[Noviembre]]</f>
        <v>0</v>
      </c>
      <c r="P9" s="232">
        <f t="shared" si="0"/>
        <v>0</v>
      </c>
    </row>
    <row r="10" spans="3:16" ht="12.75" customHeight="1" x14ac:dyDescent="0.2">
      <c r="C10" s="230" t="s">
        <v>55</v>
      </c>
      <c r="D10" s="23">
        <v>0</v>
      </c>
      <c r="E10" s="231">
        <f>Table_1[[#This Row],[importe mensual]]</f>
        <v>0</v>
      </c>
      <c r="F10" s="231">
        <f>Table_1[[#This Row],[Febrero]]</f>
        <v>0</v>
      </c>
      <c r="G10" s="231">
        <f>Table_1[[#This Row],[Marzo]]</f>
        <v>0</v>
      </c>
      <c r="H10" s="231">
        <f>Table_1[[#This Row],[Abril]]</f>
        <v>0</v>
      </c>
      <c r="I10" s="231">
        <f>Table_1[[#This Row],[Mayo]]</f>
        <v>0</v>
      </c>
      <c r="J10" s="231">
        <f>Table_1[[#This Row],[Junio]]</f>
        <v>0</v>
      </c>
      <c r="K10" s="231">
        <f>Table_1[[#This Row],[Julio]]</f>
        <v>0</v>
      </c>
      <c r="L10" s="231">
        <f>Table_1[[#This Row],[Agosto]]</f>
        <v>0</v>
      </c>
      <c r="M10" s="231">
        <f>Table_1[[#This Row],[Septiembre]]</f>
        <v>0</v>
      </c>
      <c r="N10" s="231">
        <f>Table_1[[#This Row],[Octubre]]</f>
        <v>0</v>
      </c>
      <c r="O10" s="231">
        <f>Table_1[[#This Row],[Noviembre]]</f>
        <v>0</v>
      </c>
      <c r="P10" s="232">
        <f t="shared" si="0"/>
        <v>0</v>
      </c>
    </row>
    <row r="11" spans="3:16" ht="12.75" customHeight="1" x14ac:dyDescent="0.2">
      <c r="C11" s="230" t="s">
        <v>16</v>
      </c>
      <c r="D11" s="23">
        <v>0</v>
      </c>
      <c r="E11" s="231">
        <f>Table_1[[#This Row],[importe mensual]]</f>
        <v>0</v>
      </c>
      <c r="F11" s="231">
        <f>Table_1[[#This Row],[Febrero]]</f>
        <v>0</v>
      </c>
      <c r="G11" s="231">
        <f>Table_1[[#This Row],[Marzo]]</f>
        <v>0</v>
      </c>
      <c r="H11" s="231">
        <f>Table_1[[#This Row],[Abril]]</f>
        <v>0</v>
      </c>
      <c r="I11" s="231">
        <f>Table_1[[#This Row],[Mayo]]</f>
        <v>0</v>
      </c>
      <c r="J11" s="231">
        <f>Table_1[[#This Row],[Junio]]</f>
        <v>0</v>
      </c>
      <c r="K11" s="231">
        <f>Table_1[[#This Row],[Julio]]</f>
        <v>0</v>
      </c>
      <c r="L11" s="231">
        <f>Table_1[[#This Row],[Agosto]]</f>
        <v>0</v>
      </c>
      <c r="M11" s="231">
        <f>Table_1[[#This Row],[Septiembre]]</f>
        <v>0</v>
      </c>
      <c r="N11" s="231">
        <f>Table_1[[#This Row],[Octubre]]</f>
        <v>0</v>
      </c>
      <c r="O11" s="231">
        <f>Table_1[[#This Row],[Noviembre]]</f>
        <v>0</v>
      </c>
      <c r="P11" s="232">
        <f t="shared" si="0"/>
        <v>0</v>
      </c>
    </row>
    <row r="12" spans="3:16" ht="12.75" customHeight="1" x14ac:dyDescent="0.2">
      <c r="C12" s="233" t="s">
        <v>398</v>
      </c>
      <c r="D12" s="23">
        <v>0</v>
      </c>
      <c r="E12" s="231">
        <f>Table_1[[#This Row],[importe mensual]]</f>
        <v>0</v>
      </c>
      <c r="F12" s="231">
        <f>Table_1[[#This Row],[Febrero]]</f>
        <v>0</v>
      </c>
      <c r="G12" s="231">
        <f>Table_1[[#This Row],[Marzo]]</f>
        <v>0</v>
      </c>
      <c r="H12" s="231">
        <f>Table_1[[#This Row],[Abril]]</f>
        <v>0</v>
      </c>
      <c r="I12" s="231">
        <f>Table_1[[#This Row],[Mayo]]</f>
        <v>0</v>
      </c>
      <c r="J12" s="231">
        <f>Table_1[[#This Row],[Junio]]</f>
        <v>0</v>
      </c>
      <c r="K12" s="231">
        <f>Table_1[[#This Row],[Julio]]</f>
        <v>0</v>
      </c>
      <c r="L12" s="231">
        <f>Table_1[[#This Row],[Agosto]]</f>
        <v>0</v>
      </c>
      <c r="M12" s="231">
        <f>Table_1[[#This Row],[Septiembre]]</f>
        <v>0</v>
      </c>
      <c r="N12" s="231">
        <f>Table_1[[#This Row],[Octubre]]</f>
        <v>0</v>
      </c>
      <c r="O12" s="231">
        <f>Table_1[[#This Row],[Noviembre]]</f>
        <v>0</v>
      </c>
      <c r="P12" s="232">
        <f t="shared" si="0"/>
        <v>0</v>
      </c>
    </row>
    <row r="13" spans="3:16" ht="12.75" customHeight="1" x14ac:dyDescent="0.2">
      <c r="C13" s="230" t="s">
        <v>17</v>
      </c>
      <c r="D13" s="23">
        <v>0</v>
      </c>
      <c r="E13" s="231">
        <f>Table_1[[#This Row],[importe mensual]]</f>
        <v>0</v>
      </c>
      <c r="F13" s="231">
        <f>Table_1[[#This Row],[Febrero]]</f>
        <v>0</v>
      </c>
      <c r="G13" s="231">
        <f>Table_1[[#This Row],[Marzo]]</f>
        <v>0</v>
      </c>
      <c r="H13" s="231">
        <f>Table_1[[#This Row],[Abril]]</f>
        <v>0</v>
      </c>
      <c r="I13" s="231">
        <f>Table_1[[#This Row],[Mayo]]</f>
        <v>0</v>
      </c>
      <c r="J13" s="231">
        <f>Table_1[[#This Row],[Junio]]</f>
        <v>0</v>
      </c>
      <c r="K13" s="231">
        <f>Table_1[[#This Row],[Julio]]</f>
        <v>0</v>
      </c>
      <c r="L13" s="231">
        <f>Table_1[[#This Row],[Agosto]]</f>
        <v>0</v>
      </c>
      <c r="M13" s="231">
        <f>Table_1[[#This Row],[Septiembre]]</f>
        <v>0</v>
      </c>
      <c r="N13" s="231">
        <f>Table_1[[#This Row],[Octubre]]</f>
        <v>0</v>
      </c>
      <c r="O13" s="231">
        <f>Table_1[[#This Row],[Noviembre]]</f>
        <v>0</v>
      </c>
      <c r="P13" s="232">
        <f t="shared" si="0"/>
        <v>0</v>
      </c>
    </row>
    <row r="14" spans="3:16" ht="12.75" customHeight="1" x14ac:dyDescent="0.2">
      <c r="C14" s="230" t="s">
        <v>90</v>
      </c>
      <c r="D14" s="23">
        <v>0</v>
      </c>
      <c r="E14" s="231">
        <f>Table_1[[#This Row],[importe mensual]]</f>
        <v>0</v>
      </c>
      <c r="F14" s="231">
        <f>Table_1[[#This Row],[Febrero]]</f>
        <v>0</v>
      </c>
      <c r="G14" s="231">
        <f>Table_1[[#This Row],[Marzo]]</f>
        <v>0</v>
      </c>
      <c r="H14" s="231">
        <f>Table_1[[#This Row],[Abril]]</f>
        <v>0</v>
      </c>
      <c r="I14" s="231">
        <f>Table_1[[#This Row],[Mayo]]</f>
        <v>0</v>
      </c>
      <c r="J14" s="231">
        <f>Table_1[[#This Row],[Junio]]</f>
        <v>0</v>
      </c>
      <c r="K14" s="231">
        <f>Table_1[[#This Row],[Julio]]</f>
        <v>0</v>
      </c>
      <c r="L14" s="231">
        <f>Table_1[[#This Row],[Agosto]]</f>
        <v>0</v>
      </c>
      <c r="M14" s="231">
        <f>Table_1[[#This Row],[Septiembre]]</f>
        <v>0</v>
      </c>
      <c r="N14" s="231">
        <f>Table_1[[#This Row],[Octubre]]</f>
        <v>0</v>
      </c>
      <c r="O14" s="231">
        <f>Table_1[[#This Row],[Noviembre]]</f>
        <v>0</v>
      </c>
      <c r="P14" s="232">
        <f t="shared" si="0"/>
        <v>0</v>
      </c>
    </row>
    <row r="15" spans="3:16" ht="12.75" customHeight="1" x14ac:dyDescent="0.2">
      <c r="C15" s="230" t="s">
        <v>85</v>
      </c>
      <c r="D15" s="23">
        <v>0</v>
      </c>
      <c r="E15" s="231">
        <f>Table_1[[#This Row],[importe mensual]]</f>
        <v>0</v>
      </c>
      <c r="F15" s="231">
        <f>Table_1[[#This Row],[Febrero]]</f>
        <v>0</v>
      </c>
      <c r="G15" s="231">
        <f>Table_1[[#This Row],[Marzo]]</f>
        <v>0</v>
      </c>
      <c r="H15" s="231">
        <f>Table_1[[#This Row],[Abril]]</f>
        <v>0</v>
      </c>
      <c r="I15" s="231">
        <f>Table_1[[#This Row],[Mayo]]</f>
        <v>0</v>
      </c>
      <c r="J15" s="231">
        <f>Table_1[[#This Row],[Junio]]</f>
        <v>0</v>
      </c>
      <c r="K15" s="231">
        <f>Table_1[[#This Row],[Julio]]</f>
        <v>0</v>
      </c>
      <c r="L15" s="231">
        <f>Table_1[[#This Row],[Agosto]]</f>
        <v>0</v>
      </c>
      <c r="M15" s="231">
        <f>Table_1[[#This Row],[Septiembre]]</f>
        <v>0</v>
      </c>
      <c r="N15" s="231">
        <f>Table_1[[#This Row],[Octubre]]</f>
        <v>0</v>
      </c>
      <c r="O15" s="231">
        <f>Table_1[[#This Row],[Noviembre]]</f>
        <v>0</v>
      </c>
      <c r="P15" s="232">
        <f t="shared" si="0"/>
        <v>0</v>
      </c>
    </row>
    <row r="16" spans="3:16" ht="12.75" customHeight="1" x14ac:dyDescent="0.2">
      <c r="C16" s="230" t="s">
        <v>86</v>
      </c>
      <c r="D16" s="23">
        <v>0</v>
      </c>
      <c r="E16" s="231">
        <f>Table_1[[#This Row],[importe mensual]]</f>
        <v>0</v>
      </c>
      <c r="F16" s="231">
        <f>Table_1[[#This Row],[Febrero]]</f>
        <v>0</v>
      </c>
      <c r="G16" s="231">
        <f>Table_1[[#This Row],[Marzo]]</f>
        <v>0</v>
      </c>
      <c r="H16" s="231">
        <f>Table_1[[#This Row],[Abril]]</f>
        <v>0</v>
      </c>
      <c r="I16" s="231">
        <f>Table_1[[#This Row],[Mayo]]</f>
        <v>0</v>
      </c>
      <c r="J16" s="231">
        <f>Table_1[[#This Row],[Junio]]</f>
        <v>0</v>
      </c>
      <c r="K16" s="231">
        <f>Table_1[[#This Row],[Julio]]</f>
        <v>0</v>
      </c>
      <c r="L16" s="231">
        <f>Table_1[[#This Row],[Agosto]]</f>
        <v>0</v>
      </c>
      <c r="M16" s="231">
        <f>Table_1[[#This Row],[Septiembre]]</f>
        <v>0</v>
      </c>
      <c r="N16" s="231">
        <f>Table_1[[#This Row],[Octubre]]</f>
        <v>0</v>
      </c>
      <c r="O16" s="231">
        <f>Table_1[[#This Row],[Noviembre]]</f>
        <v>0</v>
      </c>
      <c r="P16" s="232">
        <f t="shared" si="0"/>
        <v>0</v>
      </c>
    </row>
    <row r="17" spans="3:16" ht="12.75" customHeight="1" x14ac:dyDescent="0.2">
      <c r="C17" s="230" t="s">
        <v>87</v>
      </c>
      <c r="D17" s="23">
        <v>0</v>
      </c>
      <c r="E17" s="231">
        <f>Table_1[[#This Row],[importe mensual]]</f>
        <v>0</v>
      </c>
      <c r="F17" s="231">
        <f>Table_1[[#This Row],[Febrero]]</f>
        <v>0</v>
      </c>
      <c r="G17" s="231">
        <f>Table_1[[#This Row],[Marzo]]</f>
        <v>0</v>
      </c>
      <c r="H17" s="231">
        <f>Table_1[[#This Row],[Abril]]</f>
        <v>0</v>
      </c>
      <c r="I17" s="231">
        <f>Table_1[[#This Row],[Mayo]]</f>
        <v>0</v>
      </c>
      <c r="J17" s="231">
        <f>Table_1[[#This Row],[Junio]]</f>
        <v>0</v>
      </c>
      <c r="K17" s="231">
        <f>Table_1[[#This Row],[Julio]]</f>
        <v>0</v>
      </c>
      <c r="L17" s="231">
        <f>Table_1[[#This Row],[Agosto]]</f>
        <v>0</v>
      </c>
      <c r="M17" s="231">
        <f>Table_1[[#This Row],[Septiembre]]</f>
        <v>0</v>
      </c>
      <c r="N17" s="231">
        <f>Table_1[[#This Row],[Octubre]]</f>
        <v>0</v>
      </c>
      <c r="O17" s="231">
        <f>Table_1[[#This Row],[Noviembre]]</f>
        <v>0</v>
      </c>
      <c r="P17" s="232">
        <f t="shared" si="0"/>
        <v>0</v>
      </c>
    </row>
    <row r="18" spans="3:16" ht="12.75" customHeight="1" x14ac:dyDescent="0.2">
      <c r="C18" s="230" t="s">
        <v>121</v>
      </c>
      <c r="D18" s="23">
        <v>0</v>
      </c>
      <c r="E18" s="231">
        <f>Table_1[[#This Row],[importe mensual]]</f>
        <v>0</v>
      </c>
      <c r="F18" s="231">
        <f>Table_1[[#This Row],[Febrero]]</f>
        <v>0</v>
      </c>
      <c r="G18" s="231">
        <f>Table_1[[#This Row],[Marzo]]</f>
        <v>0</v>
      </c>
      <c r="H18" s="231">
        <f>Table_1[[#This Row],[Abril]]</f>
        <v>0</v>
      </c>
      <c r="I18" s="231">
        <f>Table_1[[#This Row],[Mayo]]</f>
        <v>0</v>
      </c>
      <c r="J18" s="231">
        <f>Table_1[[#This Row],[Junio]]</f>
        <v>0</v>
      </c>
      <c r="K18" s="231">
        <f>Table_1[[#This Row],[Julio]]</f>
        <v>0</v>
      </c>
      <c r="L18" s="231">
        <f>Table_1[[#This Row],[Agosto]]</f>
        <v>0</v>
      </c>
      <c r="M18" s="231">
        <f>Table_1[[#This Row],[Septiembre]]</f>
        <v>0</v>
      </c>
      <c r="N18" s="231">
        <f>Table_1[[#This Row],[Octubre]]</f>
        <v>0</v>
      </c>
      <c r="O18" s="231">
        <f>Table_1[[#This Row],[Noviembre]]</f>
        <v>0</v>
      </c>
      <c r="P18" s="232">
        <f t="shared" si="0"/>
        <v>0</v>
      </c>
    </row>
    <row r="19" spans="3:16" ht="12.75" customHeight="1" x14ac:dyDescent="0.2">
      <c r="C19" s="230" t="s">
        <v>122</v>
      </c>
      <c r="D19" s="23">
        <v>0</v>
      </c>
      <c r="E19" s="231">
        <f>Table_1[[#This Row],[importe mensual]]</f>
        <v>0</v>
      </c>
      <c r="F19" s="231">
        <f>Table_1[[#This Row],[Febrero]]</f>
        <v>0</v>
      </c>
      <c r="G19" s="231">
        <f>Table_1[[#This Row],[Marzo]]</f>
        <v>0</v>
      </c>
      <c r="H19" s="231">
        <f>Table_1[[#This Row],[Abril]]</f>
        <v>0</v>
      </c>
      <c r="I19" s="231">
        <f>Table_1[[#This Row],[Mayo]]</f>
        <v>0</v>
      </c>
      <c r="J19" s="231">
        <f>Table_1[[#This Row],[Junio]]</f>
        <v>0</v>
      </c>
      <c r="K19" s="231">
        <f>Table_1[[#This Row],[Julio]]</f>
        <v>0</v>
      </c>
      <c r="L19" s="231">
        <f>Table_1[[#This Row],[Agosto]]</f>
        <v>0</v>
      </c>
      <c r="M19" s="231">
        <f>Table_1[[#This Row],[Septiembre]]</f>
        <v>0</v>
      </c>
      <c r="N19" s="231">
        <f>Table_1[[#This Row],[Octubre]]</f>
        <v>0</v>
      </c>
      <c r="O19" s="231">
        <f>Table_1[[#This Row],[Noviembre]]</f>
        <v>0</v>
      </c>
      <c r="P19" s="232">
        <f t="shared" si="0"/>
        <v>0</v>
      </c>
    </row>
    <row r="20" spans="3:16" ht="12.75" customHeight="1" x14ac:dyDescent="0.2">
      <c r="C20" s="204"/>
      <c r="D20" s="1"/>
      <c r="E20" s="235"/>
      <c r="F20" s="235"/>
      <c r="G20" s="235"/>
      <c r="H20" s="235"/>
      <c r="I20" s="235"/>
      <c r="J20" s="235"/>
      <c r="K20" s="235"/>
      <c r="L20" s="235"/>
      <c r="M20" s="235"/>
      <c r="N20" s="235"/>
      <c r="O20" s="235"/>
      <c r="P20" s="236"/>
    </row>
    <row r="21" spans="3:16" ht="12.75" hidden="1" customHeight="1" x14ac:dyDescent="0.2">
      <c r="C21" s="204"/>
      <c r="D21" s="1"/>
      <c r="E21" s="235"/>
      <c r="F21" s="235"/>
      <c r="G21" s="235"/>
      <c r="H21" s="235"/>
      <c r="I21" s="235"/>
      <c r="J21" s="235"/>
      <c r="K21" s="235"/>
      <c r="L21" s="235"/>
      <c r="M21" s="235"/>
      <c r="N21" s="235"/>
      <c r="O21" s="235"/>
      <c r="P21" s="236"/>
    </row>
    <row r="22" spans="3:16" ht="12.75" hidden="1" customHeight="1" x14ac:dyDescent="0.2">
      <c r="C22" s="204"/>
      <c r="D22" s="1"/>
      <c r="E22" s="235"/>
      <c r="F22" s="235"/>
      <c r="G22" s="235"/>
      <c r="H22" s="235"/>
      <c r="I22" s="235"/>
      <c r="J22" s="235"/>
      <c r="K22" s="235"/>
      <c r="L22" s="235"/>
      <c r="M22" s="235"/>
      <c r="N22" s="235"/>
      <c r="O22" s="235"/>
      <c r="P22" s="236"/>
    </row>
    <row r="23" spans="3:16" ht="12.75" hidden="1" customHeight="1" x14ac:dyDescent="0.2">
      <c r="C23" s="204"/>
      <c r="D23" s="1"/>
      <c r="E23" s="235"/>
      <c r="F23" s="235"/>
      <c r="G23" s="235"/>
      <c r="H23" s="235"/>
      <c r="I23" s="235"/>
      <c r="J23" s="235"/>
      <c r="K23" s="235"/>
      <c r="L23" s="235"/>
      <c r="M23" s="235"/>
      <c r="N23" s="235"/>
      <c r="O23" s="235"/>
      <c r="P23" s="236"/>
    </row>
    <row r="24" spans="3:16" ht="13.5" thickBot="1" x14ac:dyDescent="0.25">
      <c r="D24" s="24"/>
    </row>
    <row r="25" spans="3:16" s="110" customFormat="1" ht="15" customHeight="1" thickBot="1" x14ac:dyDescent="0.25">
      <c r="C25" s="237" t="s">
        <v>106</v>
      </c>
      <c r="D25" s="243" t="s">
        <v>448</v>
      </c>
      <c r="E25" s="238" t="s">
        <v>2</v>
      </c>
      <c r="F25" s="238" t="s">
        <v>3</v>
      </c>
      <c r="G25" s="238" t="s">
        <v>4</v>
      </c>
      <c r="H25" s="238" t="s">
        <v>5</v>
      </c>
      <c r="I25" s="238" t="s">
        <v>6</v>
      </c>
      <c r="J25" s="238" t="s">
        <v>7</v>
      </c>
      <c r="K25" s="238" t="s">
        <v>8</v>
      </c>
      <c r="L25" s="238" t="s">
        <v>9</v>
      </c>
      <c r="M25" s="238" t="s">
        <v>10</v>
      </c>
      <c r="N25" s="238" t="s">
        <v>11</v>
      </c>
      <c r="O25" s="239" t="s">
        <v>12</v>
      </c>
    </row>
    <row r="26" spans="3:16" ht="12.75" customHeight="1" x14ac:dyDescent="0.2">
      <c r="C26" s="193" t="s">
        <v>53</v>
      </c>
      <c r="D26" s="21" t="s">
        <v>18</v>
      </c>
      <c r="E26" s="240" t="str">
        <f>+Table_2[[#This Row],[cant mensual]]</f>
        <v>NO</v>
      </c>
      <c r="F26" s="240" t="str">
        <f>+Table_2[[#This Row],[Febrero]]</f>
        <v>NO</v>
      </c>
      <c r="G26" s="240" t="str">
        <f>+Table_2[[#This Row],[Marzo]]</f>
        <v>NO</v>
      </c>
      <c r="H26" s="240" t="str">
        <f>+Table_2[[#This Row],[Abril]]</f>
        <v>NO</v>
      </c>
      <c r="I26" s="240" t="str">
        <f>+Table_2[[#This Row],[Mayo]]</f>
        <v>NO</v>
      </c>
      <c r="J26" s="240" t="str">
        <f>+Table_2[[#This Row],[Junio]]</f>
        <v>NO</v>
      </c>
      <c r="K26" s="240" t="str">
        <f>+Table_2[[#This Row],[Julio]]</f>
        <v>NO</v>
      </c>
      <c r="L26" s="240" t="str">
        <f>+Table_2[[#This Row],[Agosto]]</f>
        <v>NO</v>
      </c>
      <c r="M26" s="240" t="str">
        <f>+Table_2[[#This Row],[Septiembre]]</f>
        <v>NO</v>
      </c>
      <c r="N26" s="240" t="str">
        <f>+Table_2[[#This Row],[Octubre]]</f>
        <v>NO</v>
      </c>
      <c r="O26" s="240" t="str">
        <f>+Table_2[[#This Row],[Noviembre]]</f>
        <v>NO</v>
      </c>
    </row>
    <row r="27" spans="3:16" ht="12.75" customHeight="1" x14ac:dyDescent="0.2">
      <c r="C27" s="199" t="s">
        <v>322</v>
      </c>
      <c r="D27" s="22">
        <v>0</v>
      </c>
      <c r="E27" s="241">
        <f>+Table_2[[#This Row],[cant mensual]]</f>
        <v>0</v>
      </c>
      <c r="F27" s="241">
        <f>+Table_2[[#This Row],[Febrero]]</f>
        <v>0</v>
      </c>
      <c r="G27" s="241">
        <f>+Table_2[[#This Row],[Marzo]]</f>
        <v>0</v>
      </c>
      <c r="H27" s="241">
        <f>+Table_2[[#This Row],[Abril]]</f>
        <v>0</v>
      </c>
      <c r="I27" s="241">
        <f>+Table_2[[#This Row],[Mayo]]</f>
        <v>0</v>
      </c>
      <c r="J27" s="241">
        <f>+Table_2[[#This Row],[Junio]]</f>
        <v>0</v>
      </c>
      <c r="K27" s="241">
        <f>+Table_2[[#This Row],[Julio]]</f>
        <v>0</v>
      </c>
      <c r="L27" s="241">
        <f>+Table_2[[#This Row],[Agosto]]</f>
        <v>0</v>
      </c>
      <c r="M27" s="241">
        <f>+Table_2[[#This Row],[Septiembre]]</f>
        <v>0</v>
      </c>
      <c r="N27" s="241">
        <f>+Table_2[[#This Row],[Octubre]]</f>
        <v>0</v>
      </c>
      <c r="O27" s="241">
        <f>+Table_2[[#This Row],[Noviembre]]</f>
        <v>0</v>
      </c>
    </row>
    <row r="28" spans="3:16" ht="12.75" customHeight="1" x14ac:dyDescent="0.2">
      <c r="C28" s="199" t="s">
        <v>321</v>
      </c>
      <c r="D28" s="22">
        <v>0</v>
      </c>
      <c r="E28" s="241">
        <f>+Table_2[[#This Row],[cant mensual]]</f>
        <v>0</v>
      </c>
      <c r="F28" s="241">
        <f>+Table_2[[#This Row],[Febrero]]</f>
        <v>0</v>
      </c>
      <c r="G28" s="241">
        <f>+Table_2[[#This Row],[Marzo]]</f>
        <v>0</v>
      </c>
      <c r="H28" s="241">
        <f>+Table_2[[#This Row],[Abril]]</f>
        <v>0</v>
      </c>
      <c r="I28" s="241">
        <f>+Table_2[[#This Row],[Mayo]]</f>
        <v>0</v>
      </c>
      <c r="J28" s="241">
        <f>+Table_2[[#This Row],[Junio]]</f>
        <v>0</v>
      </c>
      <c r="K28" s="241">
        <f>+Table_2[[#This Row],[Julio]]</f>
        <v>0</v>
      </c>
      <c r="L28" s="241">
        <f>+Table_2[[#This Row],[Agosto]]</f>
        <v>0</v>
      </c>
      <c r="M28" s="241">
        <f>+Table_2[[#This Row],[Septiembre]]</f>
        <v>0</v>
      </c>
      <c r="N28" s="241">
        <f>+Table_2[[#This Row],[Octubre]]</f>
        <v>0</v>
      </c>
      <c r="O28" s="241">
        <f>+Table_2[[#This Row],[Noviembre]]</f>
        <v>0</v>
      </c>
    </row>
    <row r="29" spans="3:16" ht="12.75" customHeight="1" x14ac:dyDescent="0.2">
      <c r="C29" s="242" t="s">
        <v>320</v>
      </c>
      <c r="D29" s="22">
        <v>0</v>
      </c>
      <c r="E29" s="241">
        <f>+Table_2[[#This Row],[cant mensual]]</f>
        <v>0</v>
      </c>
      <c r="F29" s="241">
        <f>+Table_2[[#This Row],[Febrero]]</f>
        <v>0</v>
      </c>
      <c r="G29" s="241">
        <f>+Table_2[[#This Row],[Marzo]]</f>
        <v>0</v>
      </c>
      <c r="H29" s="241">
        <f>+Table_2[[#This Row],[Abril]]</f>
        <v>0</v>
      </c>
      <c r="I29" s="241">
        <f>+Table_2[[#This Row],[Mayo]]</f>
        <v>0</v>
      </c>
      <c r="J29" s="241">
        <f>+Table_2[[#This Row],[Junio]]</f>
        <v>0</v>
      </c>
      <c r="K29" s="241">
        <f>+Table_2[[#This Row],[Julio]]</f>
        <v>0</v>
      </c>
      <c r="L29" s="241">
        <f>+Table_2[[#This Row],[Agosto]]</f>
        <v>0</v>
      </c>
      <c r="M29" s="241">
        <f>+Table_2[[#This Row],[Septiembre]]</f>
        <v>0</v>
      </c>
      <c r="N29" s="241">
        <f>+Table_2[[#This Row],[Octubre]]</f>
        <v>0</v>
      </c>
      <c r="O29" s="241">
        <f>+Table_2[[#This Row],[Noviembre]]</f>
        <v>0</v>
      </c>
    </row>
    <row r="30" spans="3:16" ht="12.75" customHeight="1" x14ac:dyDescent="0.2">
      <c r="C30" s="242" t="s">
        <v>319</v>
      </c>
      <c r="D30" s="22">
        <v>0</v>
      </c>
      <c r="E30" s="241">
        <f>+Table_2[[#This Row],[cant mensual]]</f>
        <v>0</v>
      </c>
      <c r="F30" s="241">
        <f>+Table_2[[#This Row],[Febrero]]</f>
        <v>0</v>
      </c>
      <c r="G30" s="241">
        <f>+Table_2[[#This Row],[Marzo]]</f>
        <v>0</v>
      </c>
      <c r="H30" s="241">
        <f>+Table_2[[#This Row],[Abril]]</f>
        <v>0</v>
      </c>
      <c r="I30" s="241">
        <f>+Table_2[[#This Row],[Mayo]]</f>
        <v>0</v>
      </c>
      <c r="J30" s="241">
        <f>+Table_2[[#This Row],[Junio]]</f>
        <v>0</v>
      </c>
      <c r="K30" s="241">
        <f>+Table_2[[#This Row],[Julio]]</f>
        <v>0</v>
      </c>
      <c r="L30" s="241">
        <f>+Table_2[[#This Row],[Agosto]]</f>
        <v>0</v>
      </c>
      <c r="M30" s="241">
        <f>+Table_2[[#This Row],[Septiembre]]</f>
        <v>0</v>
      </c>
      <c r="N30" s="241">
        <f>+Table_2[[#This Row],[Octubre]]</f>
        <v>0</v>
      </c>
      <c r="O30" s="241">
        <f>+Table_2[[#This Row],[Noviembre]]</f>
        <v>0</v>
      </c>
    </row>
    <row r="31" spans="3:16" ht="12.75" customHeight="1" x14ac:dyDescent="0.2"/>
    <row r="32" spans="3:16" ht="12.75" customHeight="1" x14ac:dyDescent="0.2"/>
    <row r="33" spans="4:15" ht="12.75" hidden="1" customHeight="1" x14ac:dyDescent="0.2"/>
    <row r="34" spans="4:15" ht="12.75" hidden="1" customHeight="1" x14ac:dyDescent="0.2"/>
    <row r="35" spans="4:15" ht="12.75" hidden="1" customHeight="1" x14ac:dyDescent="0.2">
      <c r="D35" s="800" t="s">
        <v>108</v>
      </c>
      <c r="E35" s="801"/>
      <c r="F35" s="801"/>
      <c r="G35" s="801"/>
      <c r="H35" s="801"/>
      <c r="I35" s="801"/>
      <c r="J35" s="801"/>
      <c r="K35" s="801"/>
      <c r="L35" s="801"/>
      <c r="M35" s="801"/>
      <c r="N35" s="801"/>
      <c r="O35" s="802"/>
    </row>
    <row r="36" spans="4:15" ht="12.75" hidden="1" customHeight="1" x14ac:dyDescent="0.2">
      <c r="D36" s="803"/>
      <c r="E36" s="804"/>
      <c r="F36" s="804"/>
      <c r="G36" s="804"/>
      <c r="H36" s="804"/>
      <c r="I36" s="804"/>
      <c r="J36" s="804"/>
      <c r="K36" s="804"/>
      <c r="L36" s="804"/>
      <c r="M36" s="804"/>
      <c r="N36" s="804"/>
      <c r="O36" s="805"/>
    </row>
    <row r="37" spans="4:15" ht="12.75" hidden="1" customHeight="1" x14ac:dyDescent="0.2">
      <c r="D37" s="803"/>
      <c r="E37" s="804"/>
      <c r="F37" s="804"/>
      <c r="G37" s="804"/>
      <c r="H37" s="804"/>
      <c r="I37" s="804"/>
      <c r="J37" s="804"/>
      <c r="K37" s="804"/>
      <c r="L37" s="804"/>
      <c r="M37" s="804"/>
      <c r="N37" s="804"/>
      <c r="O37" s="805"/>
    </row>
    <row r="38" spans="4:15" ht="12.75" hidden="1" customHeight="1" x14ac:dyDescent="0.2">
      <c r="D38" s="803"/>
      <c r="E38" s="804"/>
      <c r="F38" s="804"/>
      <c r="G38" s="804"/>
      <c r="H38" s="804"/>
      <c r="I38" s="804"/>
      <c r="J38" s="804"/>
      <c r="K38" s="804"/>
      <c r="L38" s="804"/>
      <c r="M38" s="804"/>
      <c r="N38" s="804"/>
      <c r="O38" s="805"/>
    </row>
    <row r="39" spans="4:15" ht="12.75" hidden="1" customHeight="1" x14ac:dyDescent="0.2">
      <c r="D39" s="803"/>
      <c r="E39" s="804"/>
      <c r="F39" s="804"/>
      <c r="G39" s="804"/>
      <c r="H39" s="804"/>
      <c r="I39" s="804"/>
      <c r="J39" s="804"/>
      <c r="K39" s="804"/>
      <c r="L39" s="804"/>
      <c r="M39" s="804"/>
      <c r="N39" s="804"/>
      <c r="O39" s="805"/>
    </row>
    <row r="40" spans="4:15" ht="12.75" hidden="1" customHeight="1" x14ac:dyDescent="0.2">
      <c r="D40" s="803"/>
      <c r="E40" s="804"/>
      <c r="F40" s="804"/>
      <c r="G40" s="804"/>
      <c r="H40" s="804"/>
      <c r="I40" s="804"/>
      <c r="J40" s="804"/>
      <c r="K40" s="804"/>
      <c r="L40" s="804"/>
      <c r="M40" s="804"/>
      <c r="N40" s="804"/>
      <c r="O40" s="805"/>
    </row>
    <row r="41" spans="4:15" ht="12.75" hidden="1" customHeight="1" x14ac:dyDescent="0.2">
      <c r="D41" s="803"/>
      <c r="E41" s="804"/>
      <c r="F41" s="804"/>
      <c r="G41" s="804"/>
      <c r="H41" s="804"/>
      <c r="I41" s="804"/>
      <c r="J41" s="804"/>
      <c r="K41" s="804"/>
      <c r="L41" s="804"/>
      <c r="M41" s="804"/>
      <c r="N41" s="804"/>
      <c r="O41" s="805"/>
    </row>
    <row r="42" spans="4:15" ht="12.75" hidden="1" customHeight="1" x14ac:dyDescent="0.2">
      <c r="D42" s="803"/>
      <c r="E42" s="804"/>
      <c r="F42" s="804"/>
      <c r="G42" s="804"/>
      <c r="H42" s="804"/>
      <c r="I42" s="804"/>
      <c r="J42" s="804"/>
      <c r="K42" s="804"/>
      <c r="L42" s="804"/>
      <c r="M42" s="804"/>
      <c r="N42" s="804"/>
      <c r="O42" s="805"/>
    </row>
    <row r="43" spans="4:15" ht="12.75" hidden="1" customHeight="1" x14ac:dyDescent="0.2">
      <c r="D43" s="803"/>
      <c r="E43" s="804"/>
      <c r="F43" s="804"/>
      <c r="G43" s="804"/>
      <c r="H43" s="804"/>
      <c r="I43" s="804"/>
      <c r="J43" s="804"/>
      <c r="K43" s="804"/>
      <c r="L43" s="804"/>
      <c r="M43" s="804"/>
      <c r="N43" s="804"/>
      <c r="O43" s="805"/>
    </row>
    <row r="44" spans="4:15" ht="12.75" hidden="1" customHeight="1" x14ac:dyDescent="0.2">
      <c r="D44" s="803"/>
      <c r="E44" s="804"/>
      <c r="F44" s="804"/>
      <c r="G44" s="804"/>
      <c r="H44" s="804"/>
      <c r="I44" s="804"/>
      <c r="J44" s="804"/>
      <c r="K44" s="804"/>
      <c r="L44" s="804"/>
      <c r="M44" s="804"/>
      <c r="N44" s="804"/>
      <c r="O44" s="805"/>
    </row>
    <row r="45" spans="4:15" ht="12.75" hidden="1" customHeight="1" x14ac:dyDescent="0.2">
      <c r="D45" s="803"/>
      <c r="E45" s="804"/>
      <c r="F45" s="804"/>
      <c r="G45" s="804"/>
      <c r="H45" s="804"/>
      <c r="I45" s="804"/>
      <c r="J45" s="804"/>
      <c r="K45" s="804"/>
      <c r="L45" s="804"/>
      <c r="M45" s="804"/>
      <c r="N45" s="804"/>
      <c r="O45" s="805"/>
    </row>
    <row r="46" spans="4:15" ht="12.75" hidden="1" customHeight="1" x14ac:dyDescent="0.2">
      <c r="D46" s="803"/>
      <c r="E46" s="804"/>
      <c r="F46" s="804"/>
      <c r="G46" s="804"/>
      <c r="H46" s="804"/>
      <c r="I46" s="804"/>
      <c r="J46" s="804"/>
      <c r="K46" s="804"/>
      <c r="L46" s="804"/>
      <c r="M46" s="804"/>
      <c r="N46" s="804"/>
      <c r="O46" s="805"/>
    </row>
    <row r="47" spans="4:15" ht="12.75" hidden="1" customHeight="1" x14ac:dyDescent="0.2">
      <c r="D47" s="806"/>
      <c r="E47" s="807"/>
      <c r="F47" s="807"/>
      <c r="G47" s="807"/>
      <c r="H47" s="807"/>
      <c r="I47" s="807"/>
      <c r="J47" s="807"/>
      <c r="K47" s="807"/>
      <c r="L47" s="807"/>
      <c r="M47" s="807"/>
      <c r="N47" s="807"/>
      <c r="O47" s="808"/>
    </row>
    <row r="48" spans="4:15" ht="12.75" hidden="1" customHeight="1" x14ac:dyDescent="0.2"/>
    <row r="49" spans="4:15" ht="12.75" hidden="1" customHeight="1" x14ac:dyDescent="0.2">
      <c r="D49" s="800" t="s">
        <v>107</v>
      </c>
      <c r="E49" s="809"/>
      <c r="F49" s="809"/>
      <c r="G49" s="809"/>
      <c r="H49" s="809"/>
      <c r="I49" s="809"/>
      <c r="J49" s="809"/>
      <c r="K49" s="809"/>
      <c r="L49" s="809"/>
      <c r="M49" s="809"/>
      <c r="N49" s="809"/>
      <c r="O49" s="810"/>
    </row>
    <row r="50" spans="4:15" ht="12.75" hidden="1" customHeight="1" x14ac:dyDescent="0.2">
      <c r="D50" s="811"/>
      <c r="E50" s="812"/>
      <c r="F50" s="812"/>
      <c r="G50" s="812"/>
      <c r="H50" s="812"/>
      <c r="I50" s="812"/>
      <c r="J50" s="812"/>
      <c r="K50" s="812"/>
      <c r="L50" s="812"/>
      <c r="M50" s="812"/>
      <c r="N50" s="812"/>
      <c r="O50" s="813"/>
    </row>
    <row r="51" spans="4:15" ht="12.75" hidden="1" customHeight="1" x14ac:dyDescent="0.2">
      <c r="D51" s="811"/>
      <c r="E51" s="812"/>
      <c r="F51" s="812"/>
      <c r="G51" s="812"/>
      <c r="H51" s="812"/>
      <c r="I51" s="812"/>
      <c r="J51" s="812"/>
      <c r="K51" s="812"/>
      <c r="L51" s="812"/>
      <c r="M51" s="812"/>
      <c r="N51" s="812"/>
      <c r="O51" s="813"/>
    </row>
    <row r="52" spans="4:15" ht="12.75" hidden="1" customHeight="1" x14ac:dyDescent="0.2">
      <c r="D52" s="811"/>
      <c r="E52" s="812"/>
      <c r="F52" s="812"/>
      <c r="G52" s="812"/>
      <c r="H52" s="812"/>
      <c r="I52" s="812"/>
      <c r="J52" s="812"/>
      <c r="K52" s="812"/>
      <c r="L52" s="812"/>
      <c r="M52" s="812"/>
      <c r="N52" s="812"/>
      <c r="O52" s="813"/>
    </row>
    <row r="53" spans="4:15" ht="12.75" hidden="1" customHeight="1" x14ac:dyDescent="0.2">
      <c r="D53" s="814"/>
      <c r="E53" s="815"/>
      <c r="F53" s="815"/>
      <c r="G53" s="815"/>
      <c r="H53" s="815"/>
      <c r="I53" s="815"/>
      <c r="J53" s="815"/>
      <c r="K53" s="815"/>
      <c r="L53" s="815"/>
      <c r="M53" s="815"/>
      <c r="N53" s="815"/>
      <c r="O53" s="816"/>
    </row>
    <row r="54" spans="4:15" ht="12.75" hidden="1" customHeight="1" x14ac:dyDescent="0.2"/>
    <row r="55" spans="4:15" ht="12.75" hidden="1" customHeight="1" x14ac:dyDescent="0.2"/>
    <row r="56" spans="4:15" ht="12.75" hidden="1" customHeight="1" x14ac:dyDescent="0.2"/>
    <row r="57" spans="4:15" ht="12.75" hidden="1" customHeight="1" x14ac:dyDescent="0.2"/>
    <row r="58" spans="4:15" ht="12.75" hidden="1" customHeight="1" x14ac:dyDescent="0.2"/>
    <row r="59" spans="4:15" ht="12.75" hidden="1" customHeight="1" x14ac:dyDescent="0.2"/>
    <row r="60" spans="4:15" ht="12.75" hidden="1" customHeight="1" x14ac:dyDescent="0.2"/>
    <row r="61" spans="4:15" ht="12.75" hidden="1" customHeight="1" x14ac:dyDescent="0.2"/>
    <row r="62" spans="4:15" ht="12.75" hidden="1" customHeight="1" x14ac:dyDescent="0.2"/>
    <row r="63" spans="4:15" ht="12.75" hidden="1" customHeight="1" x14ac:dyDescent="0.2"/>
    <row r="64" spans="4:15" ht="12.75" hidden="1" customHeight="1" x14ac:dyDescent="0.2"/>
    <row r="65" s="29" customFormat="1" ht="12.75" hidden="1" customHeight="1" x14ac:dyDescent="0.2"/>
    <row r="66" s="29" customFormat="1" ht="12.75" hidden="1" customHeight="1" x14ac:dyDescent="0.2"/>
    <row r="67" s="29" customFormat="1" ht="12.75" hidden="1" customHeight="1" x14ac:dyDescent="0.2"/>
    <row r="68" s="29" customFormat="1" ht="12.75" hidden="1" customHeight="1" x14ac:dyDescent="0.2"/>
    <row r="69" s="29" customFormat="1" ht="12.75" hidden="1" customHeight="1" x14ac:dyDescent="0.2"/>
    <row r="70" s="29" customFormat="1" ht="12.75" hidden="1" customHeight="1" x14ac:dyDescent="0.2"/>
    <row r="71" s="29" customFormat="1" ht="12.75" hidden="1" customHeight="1" x14ac:dyDescent="0.2"/>
    <row r="72" s="29" customFormat="1" ht="12.75" hidden="1" customHeight="1" x14ac:dyDescent="0.2"/>
    <row r="73" s="29" customFormat="1" ht="12.75" hidden="1" customHeight="1" x14ac:dyDescent="0.2"/>
    <row r="74" s="29" customFormat="1" ht="12.75" hidden="1" customHeight="1" x14ac:dyDescent="0.2"/>
    <row r="75" s="29" customFormat="1" ht="12.75" hidden="1" customHeight="1" x14ac:dyDescent="0.2"/>
    <row r="76" s="29" customFormat="1" ht="12.75" hidden="1" customHeight="1" x14ac:dyDescent="0.2"/>
    <row r="77" s="29" customFormat="1" ht="12.75" hidden="1" customHeight="1" x14ac:dyDescent="0.2"/>
    <row r="78" s="29" customFormat="1" ht="12.75" hidden="1" customHeight="1" x14ac:dyDescent="0.2"/>
    <row r="79" s="29" customFormat="1" ht="12.75" hidden="1" customHeight="1" x14ac:dyDescent="0.2"/>
    <row r="80" s="29" customFormat="1" ht="12.75" hidden="1" customHeight="1" x14ac:dyDescent="0.2"/>
    <row r="81" s="29" customFormat="1" ht="12.75" hidden="1" customHeight="1" x14ac:dyDescent="0.2"/>
    <row r="82" s="29" customFormat="1" ht="12.75" hidden="1" customHeight="1" x14ac:dyDescent="0.2"/>
    <row r="83" s="29" customFormat="1" ht="12.75" hidden="1" customHeight="1" x14ac:dyDescent="0.2"/>
    <row r="84" s="29" customFormat="1" ht="12.75" hidden="1" customHeight="1" x14ac:dyDescent="0.2"/>
    <row r="85" s="29" customFormat="1" ht="12.75" hidden="1" customHeight="1" x14ac:dyDescent="0.2"/>
    <row r="86" s="29" customFormat="1" ht="12.75" hidden="1" customHeight="1" x14ac:dyDescent="0.2"/>
    <row r="87" s="29" customFormat="1" ht="12.75" hidden="1" customHeight="1" x14ac:dyDescent="0.2"/>
    <row r="88" s="29" customFormat="1" ht="12.75" hidden="1" customHeight="1" x14ac:dyDescent="0.2"/>
    <row r="89" s="29" customFormat="1" ht="12.75" hidden="1" customHeight="1" x14ac:dyDescent="0.2"/>
    <row r="90" s="29" customFormat="1" ht="12.75" hidden="1" customHeight="1" x14ac:dyDescent="0.2"/>
    <row r="91" s="29" customFormat="1" ht="12.75" hidden="1" customHeight="1" x14ac:dyDescent="0.2"/>
    <row r="92" s="29" customFormat="1" ht="12.75" hidden="1" customHeight="1" x14ac:dyDescent="0.2"/>
    <row r="93" s="29" customFormat="1" ht="12.75" hidden="1" customHeight="1" x14ac:dyDescent="0.2"/>
    <row r="94" s="29" customFormat="1" ht="12.75" hidden="1" customHeight="1" x14ac:dyDescent="0.2"/>
    <row r="95" s="29" customFormat="1" ht="12.75" hidden="1" customHeight="1" x14ac:dyDescent="0.2"/>
    <row r="96" s="29" customFormat="1" ht="12.75" hidden="1" customHeight="1" x14ac:dyDescent="0.2"/>
    <row r="97" s="29" customFormat="1" ht="12.75" hidden="1" customHeight="1" x14ac:dyDescent="0.2"/>
    <row r="98" s="29" customFormat="1" ht="12.75" hidden="1" customHeight="1" x14ac:dyDescent="0.2"/>
    <row r="99" s="29" customFormat="1" ht="12.75" hidden="1" customHeight="1" x14ac:dyDescent="0.2"/>
    <row r="100" s="29" customFormat="1" ht="12.75" customHeight="1" x14ac:dyDescent="0.2"/>
    <row r="101" s="29" customFormat="1" ht="12.75" customHeight="1" x14ac:dyDescent="0.2"/>
    <row r="102" s="29" customFormat="1" ht="12.75" customHeight="1" x14ac:dyDescent="0.2"/>
    <row r="103" s="29" customFormat="1" ht="12.75" customHeight="1" x14ac:dyDescent="0.2"/>
    <row r="104" s="29" customFormat="1" ht="12.75" customHeight="1" x14ac:dyDescent="0.2"/>
    <row r="105" s="29" customFormat="1" ht="12.75" customHeight="1" x14ac:dyDescent="0.2"/>
    <row r="106" s="29" customFormat="1" ht="12.75" customHeight="1" x14ac:dyDescent="0.2"/>
    <row r="107" s="29" customFormat="1" ht="12.75" customHeight="1" x14ac:dyDescent="0.2"/>
    <row r="108" s="29" customFormat="1" ht="12.75" customHeight="1" x14ac:dyDescent="0.2"/>
    <row r="109" s="29" customFormat="1" ht="12.75" customHeight="1" x14ac:dyDescent="0.2"/>
    <row r="110" s="29" customFormat="1" ht="12.75" customHeight="1" x14ac:dyDescent="0.2"/>
    <row r="111" s="29" customFormat="1" ht="12.75" customHeight="1" x14ac:dyDescent="0.2"/>
    <row r="112" s="29" customFormat="1" ht="12.75" customHeight="1" x14ac:dyDescent="0.2"/>
    <row r="113" s="29" customFormat="1" ht="12.75" customHeight="1" x14ac:dyDescent="0.2"/>
    <row r="114" s="29" customFormat="1" ht="12.75" customHeight="1" x14ac:dyDescent="0.2"/>
    <row r="115" s="29" customFormat="1" ht="12.75" customHeight="1" x14ac:dyDescent="0.2"/>
    <row r="116" s="29" customFormat="1" ht="12.75" customHeight="1" x14ac:dyDescent="0.2"/>
    <row r="117" s="29" customFormat="1" ht="12.75" customHeight="1" x14ac:dyDescent="0.2"/>
    <row r="118" s="29" customFormat="1" ht="12.75" customHeight="1" x14ac:dyDescent="0.2"/>
    <row r="119" s="29" customFormat="1" ht="12.75" customHeight="1" x14ac:dyDescent="0.2"/>
    <row r="120" s="29" customFormat="1" ht="12.75" customHeight="1" x14ac:dyDescent="0.2"/>
    <row r="121" s="29" customFormat="1" ht="12.75" customHeight="1" x14ac:dyDescent="0.2"/>
    <row r="122" s="29" customFormat="1" ht="12.75" customHeight="1" x14ac:dyDescent="0.2"/>
    <row r="123" s="29" customFormat="1" ht="12.75" customHeight="1" x14ac:dyDescent="0.2"/>
    <row r="124" s="29" customFormat="1" ht="12.75" customHeight="1" x14ac:dyDescent="0.2"/>
    <row r="125" s="29" customFormat="1" ht="12.75" customHeight="1" x14ac:dyDescent="0.2"/>
    <row r="126" s="29" customFormat="1" ht="12.75" customHeight="1" x14ac:dyDescent="0.2"/>
    <row r="127" s="29" customFormat="1" ht="12.75" customHeight="1" x14ac:dyDescent="0.2"/>
    <row r="128" s="29" customFormat="1" ht="12.75" customHeight="1" x14ac:dyDescent="0.2"/>
    <row r="129" s="29" customFormat="1" ht="12.75" customHeight="1" x14ac:dyDescent="0.2"/>
    <row r="130" s="29" customFormat="1" ht="12.75" customHeight="1" x14ac:dyDescent="0.2"/>
    <row r="131" s="29" customFormat="1" ht="12.75" customHeight="1" x14ac:dyDescent="0.2"/>
    <row r="132" s="29" customFormat="1" ht="12.75" customHeight="1" x14ac:dyDescent="0.2"/>
    <row r="133" s="29" customFormat="1" ht="12.75" customHeight="1" x14ac:dyDescent="0.2"/>
    <row r="134" s="29" customFormat="1" ht="12.75" customHeight="1" x14ac:dyDescent="0.2"/>
    <row r="135" s="29" customFormat="1" ht="12.75" customHeight="1" x14ac:dyDescent="0.2"/>
    <row r="136" s="29" customFormat="1" ht="12.75" customHeight="1" x14ac:dyDescent="0.2"/>
    <row r="137" s="29" customFormat="1" ht="12.75" customHeight="1" x14ac:dyDescent="0.2"/>
    <row r="138" s="29" customFormat="1" ht="12.75" customHeight="1" x14ac:dyDescent="0.2"/>
    <row r="139" s="29" customFormat="1" ht="12.75" customHeight="1" x14ac:dyDescent="0.2"/>
    <row r="140" s="29" customFormat="1" ht="12.75" customHeight="1" x14ac:dyDescent="0.2"/>
    <row r="141" s="29" customFormat="1" ht="12.75" customHeight="1" x14ac:dyDescent="0.2"/>
    <row r="142" s="29" customFormat="1" ht="12.75" customHeight="1" x14ac:dyDescent="0.2"/>
    <row r="143" s="29" customFormat="1" ht="12.75" customHeight="1" x14ac:dyDescent="0.2"/>
    <row r="144" s="29" customFormat="1" ht="12.75" customHeight="1" x14ac:dyDescent="0.2"/>
    <row r="145" s="29" customFormat="1" ht="12.75" customHeight="1" x14ac:dyDescent="0.2"/>
    <row r="146" s="29" customFormat="1" ht="12.75" customHeight="1" x14ac:dyDescent="0.2"/>
    <row r="147" s="29" customFormat="1" ht="12.75" customHeight="1" x14ac:dyDescent="0.2"/>
    <row r="148" s="29" customFormat="1" ht="12.75" customHeight="1" x14ac:dyDescent="0.2"/>
    <row r="149" s="29" customFormat="1" ht="12.75" customHeight="1" x14ac:dyDescent="0.2"/>
    <row r="150" s="29" customFormat="1" ht="12.75" customHeight="1" x14ac:dyDescent="0.2"/>
    <row r="151" s="29" customFormat="1" ht="12.75" customHeight="1" x14ac:dyDescent="0.2"/>
    <row r="152" s="29" customFormat="1" ht="12.75" customHeight="1" x14ac:dyDescent="0.2"/>
    <row r="153" s="29" customFormat="1" ht="12.75" customHeight="1" x14ac:dyDescent="0.2"/>
    <row r="154" s="29" customFormat="1" ht="12.75" customHeight="1" x14ac:dyDescent="0.2"/>
    <row r="155" s="29" customFormat="1" ht="12.75" customHeight="1" x14ac:dyDescent="0.2"/>
    <row r="156" s="29" customFormat="1" ht="12.75" customHeight="1" x14ac:dyDescent="0.2"/>
    <row r="157" s="29" customFormat="1" ht="12.75" customHeight="1" x14ac:dyDescent="0.2"/>
    <row r="158" s="29" customFormat="1" ht="12.75" customHeight="1" x14ac:dyDescent="0.2"/>
    <row r="159" s="29" customFormat="1" ht="12.75" customHeight="1" x14ac:dyDescent="0.2"/>
    <row r="160" s="29" customFormat="1" ht="12.75" customHeight="1" x14ac:dyDescent="0.2"/>
    <row r="161" s="29" customFormat="1" ht="12.75" customHeight="1" x14ac:dyDescent="0.2"/>
    <row r="162" s="29" customFormat="1" ht="12.75" customHeight="1" x14ac:dyDescent="0.2"/>
    <row r="163" s="29" customFormat="1" ht="12.75" customHeight="1" x14ac:dyDescent="0.2"/>
    <row r="164" s="29" customFormat="1" ht="12.75" customHeight="1" x14ac:dyDescent="0.2"/>
    <row r="165" s="29" customFormat="1" ht="12.75" customHeight="1" x14ac:dyDescent="0.2"/>
    <row r="166" s="29" customFormat="1" ht="12.75" customHeight="1" x14ac:dyDescent="0.2"/>
    <row r="167" s="29" customFormat="1" ht="12.75" customHeight="1" x14ac:dyDescent="0.2"/>
    <row r="168" s="29" customFormat="1" ht="12.75" customHeight="1" x14ac:dyDescent="0.2"/>
    <row r="169" s="29" customFormat="1" ht="12.75" customHeight="1" x14ac:dyDescent="0.2"/>
    <row r="170" s="29" customFormat="1" ht="12.75" customHeight="1" x14ac:dyDescent="0.2"/>
    <row r="171" s="29" customFormat="1" ht="12.75" customHeight="1" x14ac:dyDescent="0.2"/>
    <row r="172" s="29" customFormat="1" ht="12.75" customHeight="1" x14ac:dyDescent="0.2"/>
    <row r="173" s="29" customFormat="1" ht="12.75" customHeight="1" x14ac:dyDescent="0.2"/>
    <row r="174" s="29" customFormat="1" ht="12.75" customHeight="1" x14ac:dyDescent="0.2"/>
    <row r="175" s="29" customFormat="1" ht="12.75" customHeight="1" x14ac:dyDescent="0.2"/>
    <row r="176" s="29" customFormat="1" ht="12.75" customHeight="1" x14ac:dyDescent="0.2"/>
    <row r="177" s="29" customFormat="1" ht="12.75" customHeight="1" x14ac:dyDescent="0.2"/>
    <row r="178" s="29" customFormat="1" ht="12.75" customHeight="1" x14ac:dyDescent="0.2"/>
    <row r="179" s="29" customFormat="1" ht="12.75" customHeight="1" x14ac:dyDescent="0.2"/>
    <row r="180" s="29" customFormat="1" ht="12.75" customHeight="1" x14ac:dyDescent="0.2"/>
    <row r="181" s="29" customFormat="1" ht="12.75" customHeight="1" x14ac:dyDescent="0.2"/>
    <row r="182" s="29" customFormat="1" ht="12.75" customHeight="1" x14ac:dyDescent="0.2"/>
    <row r="183" s="29" customFormat="1" ht="12.75" customHeight="1" x14ac:dyDescent="0.2"/>
    <row r="184" s="29" customFormat="1" ht="12.75" customHeight="1" x14ac:dyDescent="0.2"/>
    <row r="185" s="29" customFormat="1" ht="12.75" customHeight="1" x14ac:dyDescent="0.2"/>
    <row r="186" s="29" customFormat="1" ht="12.75" customHeight="1" x14ac:dyDescent="0.2"/>
    <row r="187" s="29" customFormat="1" ht="12.75" customHeight="1" x14ac:dyDescent="0.2"/>
    <row r="188" s="29" customFormat="1" ht="12.75" customHeight="1" x14ac:dyDescent="0.2"/>
    <row r="189" s="29" customFormat="1" ht="12.75" customHeight="1" x14ac:dyDescent="0.2"/>
    <row r="190" s="29" customFormat="1" ht="12.75" customHeight="1" x14ac:dyDescent="0.2"/>
    <row r="191" s="29" customFormat="1" ht="12.75" customHeight="1" x14ac:dyDescent="0.2"/>
    <row r="192" s="29" customFormat="1" ht="12.75" customHeight="1" x14ac:dyDescent="0.2"/>
    <row r="193" s="29" customFormat="1" ht="12.75" customHeight="1" x14ac:dyDescent="0.2"/>
    <row r="194" s="29" customFormat="1" ht="12.75" customHeight="1" x14ac:dyDescent="0.2"/>
    <row r="195" s="29" customFormat="1" ht="12.75" customHeight="1" x14ac:dyDescent="0.2"/>
    <row r="196" s="29" customFormat="1" ht="12.75" customHeight="1" x14ac:dyDescent="0.2"/>
    <row r="197" s="29" customFormat="1" ht="12.75" customHeight="1" x14ac:dyDescent="0.2"/>
    <row r="198" s="29" customFormat="1" ht="12.75" customHeight="1" x14ac:dyDescent="0.2"/>
    <row r="199" s="29" customFormat="1" ht="12.75" customHeight="1" x14ac:dyDescent="0.2"/>
    <row r="200" s="29" customFormat="1" ht="12.75" customHeight="1" x14ac:dyDescent="0.2"/>
    <row r="201" s="29" customFormat="1" ht="12.75" customHeight="1" x14ac:dyDescent="0.2"/>
    <row r="202" s="29" customFormat="1" ht="12.75" customHeight="1" x14ac:dyDescent="0.2"/>
    <row r="203" s="29" customFormat="1" ht="12.75" customHeight="1" x14ac:dyDescent="0.2"/>
    <row r="204" s="29" customFormat="1" ht="12.75" customHeight="1" x14ac:dyDescent="0.2"/>
    <row r="205" s="29" customFormat="1" ht="12.75" customHeight="1" x14ac:dyDescent="0.2"/>
    <row r="206" s="29" customFormat="1" ht="12.75" customHeight="1" x14ac:dyDescent="0.2"/>
    <row r="207" s="29" customFormat="1" ht="12.75" customHeight="1" x14ac:dyDescent="0.2"/>
    <row r="208" s="29" customFormat="1" ht="12.75" customHeight="1" x14ac:dyDescent="0.2"/>
    <row r="209" s="29" customFormat="1" ht="12.75" customHeight="1" x14ac:dyDescent="0.2"/>
    <row r="210" s="29" customFormat="1" ht="12.75" customHeight="1" x14ac:dyDescent="0.2"/>
    <row r="211" s="29" customFormat="1" ht="12.75" customHeight="1" x14ac:dyDescent="0.2"/>
    <row r="212" s="29" customFormat="1" ht="12.75" customHeight="1" x14ac:dyDescent="0.2"/>
    <row r="213" s="29" customFormat="1" ht="12.75" customHeight="1" x14ac:dyDescent="0.2"/>
    <row r="214" s="29" customFormat="1" ht="12.75" customHeight="1" x14ac:dyDescent="0.2"/>
    <row r="215" s="29" customFormat="1" ht="12.75" customHeight="1" x14ac:dyDescent="0.2"/>
    <row r="216" s="29" customFormat="1" ht="12.75" customHeight="1" x14ac:dyDescent="0.2"/>
    <row r="217" s="29" customFormat="1" ht="12.75" customHeight="1" x14ac:dyDescent="0.2"/>
    <row r="218" s="29" customFormat="1" ht="12.75" customHeight="1" x14ac:dyDescent="0.2"/>
    <row r="219" s="29" customFormat="1" ht="12.75" customHeight="1" x14ac:dyDescent="0.2"/>
    <row r="220" s="29" customFormat="1" ht="12.75" customHeight="1" x14ac:dyDescent="0.2"/>
    <row r="221" s="29" customFormat="1" ht="12.75" customHeight="1" x14ac:dyDescent="0.2"/>
    <row r="222" s="29" customFormat="1" ht="12.75" customHeight="1" x14ac:dyDescent="0.2"/>
    <row r="223" s="29" customFormat="1" ht="12.75" customHeight="1" x14ac:dyDescent="0.2"/>
    <row r="224" s="29" customFormat="1" ht="12.75" customHeight="1" x14ac:dyDescent="0.2"/>
    <row r="225" s="29" customFormat="1" ht="12.75" customHeight="1" x14ac:dyDescent="0.2"/>
    <row r="226" s="29" customFormat="1" ht="12.75" customHeight="1" x14ac:dyDescent="0.2"/>
    <row r="227" s="29" customFormat="1" ht="12.75" customHeight="1" x14ac:dyDescent="0.2"/>
    <row r="228" s="29" customFormat="1" ht="12.75" customHeight="1" x14ac:dyDescent="0.2"/>
    <row r="229" s="29" customFormat="1" ht="12.75" customHeight="1" x14ac:dyDescent="0.2"/>
    <row r="230" s="29" customFormat="1" ht="12.75" customHeight="1" x14ac:dyDescent="0.2"/>
    <row r="231" s="29" customFormat="1" ht="12.75" customHeight="1" x14ac:dyDescent="0.2"/>
    <row r="232" s="29" customFormat="1" ht="12.75" customHeight="1" x14ac:dyDescent="0.2"/>
    <row r="233" s="29" customFormat="1" ht="12.75" customHeight="1" x14ac:dyDescent="0.2"/>
    <row r="234" s="29" customFormat="1" ht="12.75" customHeight="1" x14ac:dyDescent="0.2"/>
    <row r="235" s="29" customFormat="1" ht="12.75" customHeight="1" x14ac:dyDescent="0.2"/>
    <row r="236" s="29" customFormat="1" ht="12.75" customHeight="1" x14ac:dyDescent="0.2"/>
    <row r="237" s="29" customFormat="1" ht="12.75" customHeight="1" x14ac:dyDescent="0.2"/>
    <row r="238" s="29" customFormat="1" ht="12.75" customHeight="1" x14ac:dyDescent="0.2"/>
    <row r="239" s="29" customFormat="1" ht="12.75" customHeight="1" x14ac:dyDescent="0.2"/>
    <row r="240" s="29" customFormat="1" ht="12.75" customHeight="1" x14ac:dyDescent="0.2"/>
    <row r="241" s="29" customFormat="1" ht="12.75" customHeight="1" x14ac:dyDescent="0.2"/>
    <row r="242" s="29" customFormat="1" ht="12.75" customHeight="1" x14ac:dyDescent="0.2"/>
    <row r="243" s="29" customFormat="1" ht="12.75" customHeight="1" x14ac:dyDescent="0.2"/>
    <row r="244" s="29" customFormat="1" ht="12.75" customHeight="1" x14ac:dyDescent="0.2"/>
    <row r="245" s="29" customFormat="1" ht="12.75" customHeight="1" x14ac:dyDescent="0.2"/>
    <row r="246" s="29" customFormat="1" ht="12.75" customHeight="1" x14ac:dyDescent="0.2"/>
    <row r="247" s="29" customFormat="1" ht="12.75" customHeight="1" x14ac:dyDescent="0.2"/>
    <row r="248" s="29" customFormat="1" ht="12.75" customHeight="1" x14ac:dyDescent="0.2"/>
    <row r="249" s="29" customFormat="1" ht="12.75" customHeight="1" x14ac:dyDescent="0.2"/>
    <row r="250" s="29" customFormat="1" ht="12.75" customHeight="1" x14ac:dyDescent="0.2"/>
    <row r="251" s="29" customFormat="1" ht="12.75" customHeight="1" x14ac:dyDescent="0.2"/>
    <row r="252" s="29" customFormat="1" ht="12.75" customHeight="1" x14ac:dyDescent="0.2"/>
    <row r="253" s="29" customFormat="1" ht="12.75" customHeight="1" x14ac:dyDescent="0.2"/>
    <row r="254" s="29" customFormat="1" ht="12.75" customHeight="1" x14ac:dyDescent="0.2"/>
    <row r="255" s="29" customFormat="1" ht="12.75" customHeight="1" x14ac:dyDescent="0.2"/>
    <row r="256" s="29" customFormat="1" ht="12.75" customHeight="1" x14ac:dyDescent="0.2"/>
    <row r="257" s="29" customFormat="1" ht="12.75" customHeight="1" x14ac:dyDescent="0.2"/>
    <row r="258" s="29" customFormat="1" ht="12.75" customHeight="1" x14ac:dyDescent="0.2"/>
    <row r="259" s="29" customFormat="1" ht="12.75" customHeight="1" x14ac:dyDescent="0.2"/>
    <row r="260" s="29" customFormat="1" ht="12.75" customHeight="1" x14ac:dyDescent="0.2"/>
    <row r="261" s="29" customFormat="1" ht="12.75" customHeight="1" x14ac:dyDescent="0.2"/>
    <row r="262" s="29" customFormat="1" ht="12.75" customHeight="1" x14ac:dyDescent="0.2"/>
    <row r="263" s="29" customFormat="1" ht="12.75" customHeight="1" x14ac:dyDescent="0.2"/>
    <row r="264" s="29" customFormat="1" ht="12.75" customHeight="1" x14ac:dyDescent="0.2"/>
    <row r="265" s="29" customFormat="1" ht="12.75" customHeight="1" x14ac:dyDescent="0.2"/>
    <row r="266" s="29" customFormat="1" ht="12.75" customHeight="1" x14ac:dyDescent="0.2"/>
    <row r="267" s="29" customFormat="1" ht="12.75" customHeight="1" x14ac:dyDescent="0.2"/>
    <row r="268" s="29" customFormat="1" ht="12.75" customHeight="1" x14ac:dyDescent="0.2"/>
    <row r="269" s="29" customFormat="1" ht="12.75" customHeight="1" x14ac:dyDescent="0.2"/>
    <row r="270" s="29" customFormat="1" ht="12.75" customHeight="1" x14ac:dyDescent="0.2"/>
    <row r="271" s="29" customFormat="1" ht="12.75" customHeight="1" x14ac:dyDescent="0.2"/>
    <row r="272" s="29" customFormat="1" ht="12.75" customHeight="1" x14ac:dyDescent="0.2"/>
    <row r="273" s="29" customFormat="1" ht="12.75" customHeight="1" x14ac:dyDescent="0.2"/>
    <row r="274" s="29" customFormat="1" ht="12.75" customHeight="1" x14ac:dyDescent="0.2"/>
    <row r="275" s="29" customFormat="1" ht="12.75" customHeight="1" x14ac:dyDescent="0.2"/>
    <row r="276" s="29" customFormat="1" ht="12.75" customHeight="1" x14ac:dyDescent="0.2"/>
    <row r="277" s="29" customFormat="1" ht="12.75" customHeight="1" x14ac:dyDescent="0.2"/>
    <row r="278" s="29" customFormat="1" ht="12.75" customHeight="1" x14ac:dyDescent="0.2"/>
    <row r="279" s="29" customFormat="1" ht="12.75" customHeight="1" x14ac:dyDescent="0.2"/>
    <row r="280" s="29" customFormat="1" ht="12.75" customHeight="1" x14ac:dyDescent="0.2"/>
    <row r="281" s="29" customFormat="1" ht="12.75" customHeight="1" x14ac:dyDescent="0.2"/>
    <row r="282" s="29" customFormat="1" ht="12.75" customHeight="1" x14ac:dyDescent="0.2"/>
    <row r="283" s="29" customFormat="1" ht="12.75" customHeight="1" x14ac:dyDescent="0.2"/>
    <row r="284" s="29" customFormat="1" ht="12.75" customHeight="1" x14ac:dyDescent="0.2"/>
    <row r="285" s="29" customFormat="1" ht="12.75" customHeight="1" x14ac:dyDescent="0.2"/>
    <row r="286" s="29" customFormat="1" ht="12.75" customHeight="1" x14ac:dyDescent="0.2"/>
    <row r="287" s="29" customFormat="1" ht="12.75" customHeight="1" x14ac:dyDescent="0.2"/>
    <row r="288" s="29" customFormat="1" ht="12.75" customHeight="1" x14ac:dyDescent="0.2"/>
    <row r="289" s="29" customFormat="1" ht="12.75" customHeight="1" x14ac:dyDescent="0.2"/>
    <row r="290" s="29" customFormat="1" ht="12.75" customHeight="1" x14ac:dyDescent="0.2"/>
    <row r="291" s="29" customFormat="1" ht="12.75" customHeight="1" x14ac:dyDescent="0.2"/>
    <row r="292" s="29" customFormat="1" ht="12.75" customHeight="1" x14ac:dyDescent="0.2"/>
    <row r="293" s="29" customFormat="1" ht="12.75" customHeight="1" x14ac:dyDescent="0.2"/>
    <row r="294" s="29" customFormat="1" ht="12.75" customHeight="1" x14ac:dyDescent="0.2"/>
    <row r="295" s="29" customFormat="1" ht="12.75" customHeight="1" x14ac:dyDescent="0.2"/>
    <row r="296" s="29" customFormat="1" ht="12.75" customHeight="1" x14ac:dyDescent="0.2"/>
    <row r="297" s="29" customFormat="1" ht="12.75" customHeight="1" x14ac:dyDescent="0.2"/>
    <row r="298" s="29" customFormat="1" ht="12.75" customHeight="1" x14ac:dyDescent="0.2"/>
    <row r="299" s="29" customFormat="1" ht="12.75" customHeight="1" x14ac:dyDescent="0.2"/>
    <row r="300" s="29" customFormat="1" ht="12.75" customHeight="1" x14ac:dyDescent="0.2"/>
    <row r="301" s="29" customFormat="1" ht="12.75" customHeight="1" x14ac:dyDescent="0.2"/>
    <row r="302" s="29" customFormat="1" ht="12.75" customHeight="1" x14ac:dyDescent="0.2"/>
    <row r="303" s="29" customFormat="1" ht="12.75" customHeight="1" x14ac:dyDescent="0.2"/>
    <row r="304" s="29" customFormat="1" ht="12.75" customHeight="1" x14ac:dyDescent="0.2"/>
    <row r="305" s="29" customFormat="1" ht="12.75" customHeight="1" x14ac:dyDescent="0.2"/>
    <row r="306" s="29" customFormat="1" ht="12.75" customHeight="1" x14ac:dyDescent="0.2"/>
    <row r="307" s="29" customFormat="1" ht="12.75" customHeight="1" x14ac:dyDescent="0.2"/>
    <row r="308" s="29" customFormat="1" ht="12.75" customHeight="1" x14ac:dyDescent="0.2"/>
    <row r="309" s="29" customFormat="1" ht="12.75" customHeight="1" x14ac:dyDescent="0.2"/>
    <row r="310" s="29" customFormat="1" ht="12.75" customHeight="1" x14ac:dyDescent="0.2"/>
    <row r="311" s="29" customFormat="1" ht="12.75" customHeight="1" x14ac:dyDescent="0.2"/>
    <row r="312" s="29" customFormat="1" ht="12.75" customHeight="1" x14ac:dyDescent="0.2"/>
    <row r="313" s="29" customFormat="1" ht="12.75" customHeight="1" x14ac:dyDescent="0.2"/>
    <row r="314" s="29" customFormat="1" ht="12.75" customHeight="1" x14ac:dyDescent="0.2"/>
    <row r="315" s="29" customFormat="1" ht="12.75" customHeight="1" x14ac:dyDescent="0.2"/>
    <row r="316" s="29" customFormat="1" ht="12.75" customHeight="1" x14ac:dyDescent="0.2"/>
    <row r="317" s="29" customFormat="1" ht="12.75" customHeight="1" x14ac:dyDescent="0.2"/>
    <row r="318" s="29" customFormat="1" ht="12.75" customHeight="1" x14ac:dyDescent="0.2"/>
    <row r="319" s="29" customFormat="1" ht="12.75" customHeight="1" x14ac:dyDescent="0.2"/>
    <row r="320" s="29" customFormat="1" ht="12.75" customHeight="1" x14ac:dyDescent="0.2"/>
    <row r="321" s="29" customFormat="1" ht="12.75" customHeight="1" x14ac:dyDescent="0.2"/>
    <row r="322" s="29" customFormat="1" ht="12.75" customHeight="1" x14ac:dyDescent="0.2"/>
    <row r="323" s="29" customFormat="1" ht="12.75" customHeight="1" x14ac:dyDescent="0.2"/>
    <row r="324" s="29" customFormat="1" ht="12.75" customHeight="1" x14ac:dyDescent="0.2"/>
    <row r="325" s="29" customFormat="1" ht="12.75" customHeight="1" x14ac:dyDescent="0.2"/>
    <row r="326" s="29" customFormat="1" ht="12.75" customHeight="1" x14ac:dyDescent="0.2"/>
    <row r="327" s="29" customFormat="1" ht="12.75" customHeight="1" x14ac:dyDescent="0.2"/>
    <row r="328" s="29" customFormat="1" ht="12.75" customHeight="1" x14ac:dyDescent="0.2"/>
    <row r="329" s="29" customFormat="1" ht="12.75" customHeight="1" x14ac:dyDescent="0.2"/>
    <row r="330" s="29" customFormat="1" ht="12.75" customHeight="1" x14ac:dyDescent="0.2"/>
    <row r="331" s="29" customFormat="1" ht="12.75" customHeight="1" x14ac:dyDescent="0.2"/>
    <row r="332" s="29" customFormat="1" ht="12.75" customHeight="1" x14ac:dyDescent="0.2"/>
    <row r="333" s="29" customFormat="1" ht="12.75" customHeight="1" x14ac:dyDescent="0.2"/>
    <row r="334" s="29" customFormat="1" ht="12.75" customHeight="1" x14ac:dyDescent="0.2"/>
    <row r="335" s="29" customFormat="1" ht="12.75" customHeight="1" x14ac:dyDescent="0.2"/>
    <row r="336" s="29" customFormat="1" ht="12.75" customHeight="1" x14ac:dyDescent="0.2"/>
    <row r="337" s="29" customFormat="1" ht="12.75" customHeight="1" x14ac:dyDescent="0.2"/>
    <row r="338" s="29" customFormat="1" ht="12.75" customHeight="1" x14ac:dyDescent="0.2"/>
    <row r="339" s="29" customFormat="1" ht="12.75" customHeight="1" x14ac:dyDescent="0.2"/>
    <row r="340" s="29" customFormat="1" ht="12.75" customHeight="1" x14ac:dyDescent="0.2"/>
    <row r="341" s="29" customFormat="1" ht="12.75" customHeight="1" x14ac:dyDescent="0.2"/>
    <row r="342" s="29" customFormat="1" ht="12.75" customHeight="1" x14ac:dyDescent="0.2"/>
    <row r="343" s="29" customFormat="1" ht="12.75" customHeight="1" x14ac:dyDescent="0.2"/>
    <row r="344" s="29" customFormat="1" ht="12.75" customHeight="1" x14ac:dyDescent="0.2"/>
    <row r="345" s="29" customFormat="1" ht="12.75" customHeight="1" x14ac:dyDescent="0.2"/>
    <row r="346" s="29" customFormat="1" ht="12.75" customHeight="1" x14ac:dyDescent="0.2"/>
    <row r="347" s="29" customFormat="1" ht="12.75" customHeight="1" x14ac:dyDescent="0.2"/>
    <row r="348" s="29" customFormat="1" ht="12.75" customHeight="1" x14ac:dyDescent="0.2"/>
    <row r="349" s="29" customFormat="1" ht="12.75" customHeight="1" x14ac:dyDescent="0.2"/>
    <row r="350" s="29" customFormat="1" ht="12.75" customHeight="1" x14ac:dyDescent="0.2"/>
    <row r="351" s="29" customFormat="1" ht="12.75" customHeight="1" x14ac:dyDescent="0.2"/>
    <row r="352" s="29" customFormat="1" ht="12.75" customHeight="1" x14ac:dyDescent="0.2"/>
    <row r="353" s="29" customFormat="1" ht="12.75" customHeight="1" x14ac:dyDescent="0.2"/>
    <row r="354" s="29" customFormat="1" ht="12.75" customHeight="1" x14ac:dyDescent="0.2"/>
    <row r="355" s="29" customFormat="1" ht="12.75" customHeight="1" x14ac:dyDescent="0.2"/>
    <row r="356" s="29" customFormat="1" ht="12.75" customHeight="1" x14ac:dyDescent="0.2"/>
    <row r="357" s="29" customFormat="1" ht="12.75" customHeight="1" x14ac:dyDescent="0.2"/>
    <row r="358" s="29" customFormat="1" ht="12.75" customHeight="1" x14ac:dyDescent="0.2"/>
    <row r="359" s="29" customFormat="1" ht="12.75" customHeight="1" x14ac:dyDescent="0.2"/>
    <row r="360" s="29" customFormat="1" ht="12.75" customHeight="1" x14ac:dyDescent="0.2"/>
    <row r="361" s="29" customFormat="1" ht="12.75" customHeight="1" x14ac:dyDescent="0.2"/>
    <row r="362" s="29" customFormat="1" ht="12.75" customHeight="1" x14ac:dyDescent="0.2"/>
    <row r="363" s="29" customFormat="1" ht="12.75" customHeight="1" x14ac:dyDescent="0.2"/>
    <row r="364" s="29" customFormat="1" ht="12.75" customHeight="1" x14ac:dyDescent="0.2"/>
    <row r="365" s="29" customFormat="1" ht="12.75" customHeight="1" x14ac:dyDescent="0.2"/>
    <row r="366" s="29" customFormat="1" ht="12.75" customHeight="1" x14ac:dyDescent="0.2"/>
    <row r="367" s="29" customFormat="1" ht="12.75" customHeight="1" x14ac:dyDescent="0.2"/>
    <row r="368" s="29" customFormat="1" ht="12.75" customHeight="1" x14ac:dyDescent="0.2"/>
    <row r="369" s="29" customFormat="1" ht="12.75" customHeight="1" x14ac:dyDescent="0.2"/>
    <row r="370" s="29" customFormat="1" ht="12.75" customHeight="1" x14ac:dyDescent="0.2"/>
    <row r="371" s="29" customFormat="1" ht="12.75" customHeight="1" x14ac:dyDescent="0.2"/>
    <row r="372" s="29" customFormat="1" ht="12.75" customHeight="1" x14ac:dyDescent="0.2"/>
    <row r="373" s="29" customFormat="1" ht="12.75" customHeight="1" x14ac:dyDescent="0.2"/>
    <row r="374" s="29" customFormat="1" ht="12.75" customHeight="1" x14ac:dyDescent="0.2"/>
    <row r="375" s="29" customFormat="1" ht="12.75" customHeight="1" x14ac:dyDescent="0.2"/>
    <row r="376" s="29" customFormat="1" ht="12.75" customHeight="1" x14ac:dyDescent="0.2"/>
    <row r="377" s="29" customFormat="1" ht="12.75" customHeight="1" x14ac:dyDescent="0.2"/>
    <row r="378" s="29" customFormat="1" ht="12.75" customHeight="1" x14ac:dyDescent="0.2"/>
    <row r="379" s="29" customFormat="1" ht="12.75" customHeight="1" x14ac:dyDescent="0.2"/>
    <row r="380" s="29" customFormat="1" ht="12.75" customHeight="1" x14ac:dyDescent="0.2"/>
    <row r="381" s="29" customFormat="1" ht="12.75" customHeight="1" x14ac:dyDescent="0.2"/>
    <row r="382" s="29" customFormat="1" ht="12.75" customHeight="1" x14ac:dyDescent="0.2"/>
    <row r="383" s="29" customFormat="1" ht="12.75" customHeight="1" x14ac:dyDescent="0.2"/>
    <row r="384" s="29" customFormat="1" ht="12.75" customHeight="1" x14ac:dyDescent="0.2"/>
    <row r="385" s="29" customFormat="1" ht="12.75" customHeight="1" x14ac:dyDescent="0.2"/>
    <row r="386" s="29" customFormat="1" ht="12.75" customHeight="1" x14ac:dyDescent="0.2"/>
    <row r="387" s="29" customFormat="1" ht="12.75" customHeight="1" x14ac:dyDescent="0.2"/>
    <row r="388" s="29" customFormat="1" ht="12.75" customHeight="1" x14ac:dyDescent="0.2"/>
    <row r="389" s="29" customFormat="1" ht="12.75" customHeight="1" x14ac:dyDescent="0.2"/>
    <row r="390" s="29" customFormat="1" ht="12.75" customHeight="1" x14ac:dyDescent="0.2"/>
    <row r="391" s="29" customFormat="1" ht="12.75" customHeight="1" x14ac:dyDescent="0.2"/>
    <row r="392" s="29" customFormat="1" ht="12.75" customHeight="1" x14ac:dyDescent="0.2"/>
    <row r="393" s="29" customFormat="1" ht="12.75" customHeight="1" x14ac:dyDescent="0.2"/>
    <row r="394" s="29" customFormat="1" ht="12.75" customHeight="1" x14ac:dyDescent="0.2"/>
    <row r="395" s="29" customFormat="1" ht="12.75" customHeight="1" x14ac:dyDescent="0.2"/>
    <row r="396" s="29" customFormat="1" ht="12.75" customHeight="1" x14ac:dyDescent="0.2"/>
    <row r="397" s="29" customFormat="1" ht="12.75" customHeight="1" x14ac:dyDescent="0.2"/>
    <row r="398" s="29" customFormat="1" ht="12.75" customHeight="1" x14ac:dyDescent="0.2"/>
    <row r="399" s="29" customFormat="1" ht="12.75" customHeight="1" x14ac:dyDescent="0.2"/>
    <row r="400" s="29" customFormat="1" ht="12.75" customHeight="1" x14ac:dyDescent="0.2"/>
    <row r="401" s="29" customFormat="1" ht="12.75" customHeight="1" x14ac:dyDescent="0.2"/>
    <row r="402" s="29" customFormat="1" ht="12.75" customHeight="1" x14ac:dyDescent="0.2"/>
    <row r="403" s="29" customFormat="1" ht="12.75" customHeight="1" x14ac:dyDescent="0.2"/>
    <row r="404" s="29" customFormat="1" ht="12.75" customHeight="1" x14ac:dyDescent="0.2"/>
    <row r="405" s="29" customFormat="1" ht="12.75" customHeight="1" x14ac:dyDescent="0.2"/>
    <row r="406" s="29" customFormat="1" ht="12.75" customHeight="1" x14ac:dyDescent="0.2"/>
    <row r="407" s="29" customFormat="1" ht="12.75" customHeight="1" x14ac:dyDescent="0.2"/>
    <row r="408" s="29" customFormat="1" ht="12.75" customHeight="1" x14ac:dyDescent="0.2"/>
    <row r="409" s="29" customFormat="1" ht="12.75" customHeight="1" x14ac:dyDescent="0.2"/>
    <row r="410" s="29" customFormat="1" ht="12.75" customHeight="1" x14ac:dyDescent="0.2"/>
    <row r="411" s="29" customFormat="1" ht="12.75" customHeight="1" x14ac:dyDescent="0.2"/>
    <row r="412" s="29" customFormat="1" ht="12.75" customHeight="1" x14ac:dyDescent="0.2"/>
    <row r="413" s="29" customFormat="1" ht="12.75" customHeight="1" x14ac:dyDescent="0.2"/>
    <row r="414" s="29" customFormat="1" ht="12.75" customHeight="1" x14ac:dyDescent="0.2"/>
    <row r="415" s="29" customFormat="1" ht="12.75" customHeight="1" x14ac:dyDescent="0.2"/>
    <row r="416" s="29" customFormat="1" ht="12.75" customHeight="1" x14ac:dyDescent="0.2"/>
    <row r="417" s="29" customFormat="1" ht="12.75" customHeight="1" x14ac:dyDescent="0.2"/>
    <row r="418" s="29" customFormat="1" ht="12.75" customHeight="1" x14ac:dyDescent="0.2"/>
    <row r="419" s="29" customFormat="1" ht="12.75" customHeight="1" x14ac:dyDescent="0.2"/>
    <row r="420" s="29" customFormat="1" ht="12.75" customHeight="1" x14ac:dyDescent="0.2"/>
    <row r="421" s="29" customFormat="1" ht="12.75" customHeight="1" x14ac:dyDescent="0.2"/>
    <row r="422" s="29" customFormat="1" ht="12.75" customHeight="1" x14ac:dyDescent="0.2"/>
    <row r="423" s="29" customFormat="1" ht="12.75" customHeight="1" x14ac:dyDescent="0.2"/>
    <row r="424" s="29" customFormat="1" ht="12.75" customHeight="1" x14ac:dyDescent="0.2"/>
    <row r="425" s="29" customFormat="1" ht="12.75" customHeight="1" x14ac:dyDescent="0.2"/>
    <row r="426" s="29" customFormat="1" ht="12.75" customHeight="1" x14ac:dyDescent="0.2"/>
    <row r="427" s="29" customFormat="1" ht="12.75" customHeight="1" x14ac:dyDescent="0.2"/>
    <row r="428" s="29" customFormat="1" ht="12.75" customHeight="1" x14ac:dyDescent="0.2"/>
    <row r="429" s="29" customFormat="1" ht="12.75" customHeight="1" x14ac:dyDescent="0.2"/>
    <row r="430" s="29" customFormat="1" ht="12.75" customHeight="1" x14ac:dyDescent="0.2"/>
    <row r="431" s="29" customFormat="1" ht="12.75" customHeight="1" x14ac:dyDescent="0.2"/>
    <row r="432" s="29" customFormat="1" ht="12.75" customHeight="1" x14ac:dyDescent="0.2"/>
    <row r="433" s="29" customFormat="1" ht="12.75" customHeight="1" x14ac:dyDescent="0.2"/>
    <row r="434" s="29" customFormat="1" ht="12.75" customHeight="1" x14ac:dyDescent="0.2"/>
    <row r="435" s="29" customFormat="1" ht="12.75" customHeight="1" x14ac:dyDescent="0.2"/>
    <row r="436" s="29" customFormat="1" ht="12.75" customHeight="1" x14ac:dyDescent="0.2"/>
    <row r="437" s="29" customFormat="1" ht="12.75" customHeight="1" x14ac:dyDescent="0.2"/>
    <row r="438" s="29" customFormat="1" ht="12.75" customHeight="1" x14ac:dyDescent="0.2"/>
    <row r="439" s="29" customFormat="1" ht="12.75" customHeight="1" x14ac:dyDescent="0.2"/>
    <row r="440" s="29" customFormat="1" ht="12.75" customHeight="1" x14ac:dyDescent="0.2"/>
    <row r="441" s="29" customFormat="1" ht="12.75" customHeight="1" x14ac:dyDescent="0.2"/>
    <row r="442" s="29" customFormat="1" ht="12.75" customHeight="1" x14ac:dyDescent="0.2"/>
    <row r="443" s="29" customFormat="1" ht="12.75" customHeight="1" x14ac:dyDescent="0.2"/>
    <row r="444" s="29" customFormat="1" ht="12.75" customHeight="1" x14ac:dyDescent="0.2"/>
    <row r="445" s="29" customFormat="1" ht="12.75" customHeight="1" x14ac:dyDescent="0.2"/>
    <row r="446" s="29" customFormat="1" ht="12.75" customHeight="1" x14ac:dyDescent="0.2"/>
    <row r="447" s="29" customFormat="1" ht="12.75" customHeight="1" x14ac:dyDescent="0.2"/>
    <row r="448" s="29" customFormat="1" ht="12.75" customHeight="1" x14ac:dyDescent="0.2"/>
    <row r="449" s="29" customFormat="1" ht="12.75" customHeight="1" x14ac:dyDescent="0.2"/>
    <row r="450" s="29" customFormat="1" ht="12.75" customHeight="1" x14ac:dyDescent="0.2"/>
    <row r="451" s="29" customFormat="1" ht="12.75" customHeight="1" x14ac:dyDescent="0.2"/>
    <row r="452" s="29" customFormat="1" ht="12.75" customHeight="1" x14ac:dyDescent="0.2"/>
    <row r="453" s="29" customFormat="1" ht="12.75" customHeight="1" x14ac:dyDescent="0.2"/>
    <row r="454" s="29" customFormat="1" ht="12.75" customHeight="1" x14ac:dyDescent="0.2"/>
    <row r="455" s="29" customFormat="1" ht="12.75" customHeight="1" x14ac:dyDescent="0.2"/>
    <row r="456" s="29" customFormat="1" ht="12.75" customHeight="1" x14ac:dyDescent="0.2"/>
    <row r="457" s="29" customFormat="1" ht="12.75" customHeight="1" x14ac:dyDescent="0.2"/>
    <row r="458" s="29" customFormat="1" ht="12.75" customHeight="1" x14ac:dyDescent="0.2"/>
    <row r="459" s="29" customFormat="1" ht="12.75" customHeight="1" x14ac:dyDescent="0.2"/>
    <row r="460" s="29" customFormat="1" ht="12.75" customHeight="1" x14ac:dyDescent="0.2"/>
    <row r="461" s="29" customFormat="1" ht="12.75" customHeight="1" x14ac:dyDescent="0.2"/>
    <row r="462" s="29" customFormat="1" ht="12.75" customHeight="1" x14ac:dyDescent="0.2"/>
    <row r="463" s="29" customFormat="1" ht="12.75" customHeight="1" x14ac:dyDescent="0.2"/>
    <row r="464" s="29" customFormat="1" ht="12.75" customHeight="1" x14ac:dyDescent="0.2"/>
    <row r="465" s="29" customFormat="1" ht="12.75" customHeight="1" x14ac:dyDescent="0.2"/>
    <row r="466" s="29" customFormat="1" ht="12.75" customHeight="1" x14ac:dyDescent="0.2"/>
    <row r="467" s="29" customFormat="1" ht="12.75" customHeight="1" x14ac:dyDescent="0.2"/>
    <row r="468" s="29" customFormat="1" ht="12.75" customHeight="1" x14ac:dyDescent="0.2"/>
    <row r="469" s="29" customFormat="1" ht="12.75" customHeight="1" x14ac:dyDescent="0.2"/>
    <row r="470" s="29" customFormat="1" ht="12.75" customHeight="1" x14ac:dyDescent="0.2"/>
    <row r="471" s="29" customFormat="1" ht="12.75" customHeight="1" x14ac:dyDescent="0.2"/>
    <row r="472" s="29" customFormat="1" ht="12.75" customHeight="1" x14ac:dyDescent="0.2"/>
    <row r="473" s="29" customFormat="1" ht="12.75" customHeight="1" x14ac:dyDescent="0.2"/>
    <row r="474" s="29" customFormat="1" ht="12.75" customHeight="1" x14ac:dyDescent="0.2"/>
    <row r="475" s="29" customFormat="1" ht="12.75" customHeight="1" x14ac:dyDescent="0.2"/>
    <row r="476" s="29" customFormat="1" ht="12.75" customHeight="1" x14ac:dyDescent="0.2"/>
    <row r="477" s="29" customFormat="1" ht="12.75" customHeight="1" x14ac:dyDescent="0.2"/>
    <row r="478" s="29" customFormat="1" ht="12.75" customHeight="1" x14ac:dyDescent="0.2"/>
    <row r="479" s="29" customFormat="1" ht="12.75" customHeight="1" x14ac:dyDescent="0.2"/>
    <row r="480" s="29" customFormat="1" ht="12.75" customHeight="1" x14ac:dyDescent="0.2"/>
    <row r="481" s="29" customFormat="1" ht="12.75" customHeight="1" x14ac:dyDescent="0.2"/>
    <row r="482" s="29" customFormat="1" ht="12.75" customHeight="1" x14ac:dyDescent="0.2"/>
    <row r="483" s="29" customFormat="1" ht="12.75" customHeight="1" x14ac:dyDescent="0.2"/>
    <row r="484" s="29" customFormat="1" ht="12.75" customHeight="1" x14ac:dyDescent="0.2"/>
    <row r="485" s="29" customFormat="1" ht="12.75" customHeight="1" x14ac:dyDescent="0.2"/>
    <row r="486" s="29" customFormat="1" ht="12.75" customHeight="1" x14ac:dyDescent="0.2"/>
    <row r="487" s="29" customFormat="1" ht="12.75" customHeight="1" x14ac:dyDescent="0.2"/>
    <row r="488" s="29" customFormat="1" ht="12.75" customHeight="1" x14ac:dyDescent="0.2"/>
    <row r="489" s="29" customFormat="1" ht="12.75" customHeight="1" x14ac:dyDescent="0.2"/>
    <row r="490" s="29" customFormat="1" ht="12.75" customHeight="1" x14ac:dyDescent="0.2"/>
    <row r="491" s="29" customFormat="1" ht="12.75" customHeight="1" x14ac:dyDescent="0.2"/>
    <row r="492" s="29" customFormat="1" ht="12.75" customHeight="1" x14ac:dyDescent="0.2"/>
    <row r="493" s="29" customFormat="1" ht="12.75" customHeight="1" x14ac:dyDescent="0.2"/>
    <row r="494" s="29" customFormat="1" ht="12.75" customHeight="1" x14ac:dyDescent="0.2"/>
    <row r="495" s="29" customFormat="1" ht="12.75" customHeight="1" x14ac:dyDescent="0.2"/>
    <row r="496" s="29" customFormat="1" ht="12.75" customHeight="1" x14ac:dyDescent="0.2"/>
    <row r="497" s="29" customFormat="1" ht="12.75" customHeight="1" x14ac:dyDescent="0.2"/>
    <row r="498" s="29" customFormat="1" ht="12.75" customHeight="1" x14ac:dyDescent="0.2"/>
    <row r="499" s="29" customFormat="1" ht="12.75" customHeight="1" x14ac:dyDescent="0.2"/>
    <row r="500" s="29" customFormat="1" ht="12.75" customHeight="1" x14ac:dyDescent="0.2"/>
    <row r="501" s="29" customFormat="1" ht="12.75" customHeight="1" x14ac:dyDescent="0.2"/>
    <row r="502" s="29" customFormat="1" ht="12.75" customHeight="1" x14ac:dyDescent="0.2"/>
    <row r="503" s="29" customFormat="1" ht="12.75" customHeight="1" x14ac:dyDescent="0.2"/>
    <row r="504" s="29" customFormat="1" ht="12.75" customHeight="1" x14ac:dyDescent="0.2"/>
    <row r="505" s="29" customFormat="1" ht="12.75" customHeight="1" x14ac:dyDescent="0.2"/>
    <row r="506" s="29" customFormat="1" ht="12.75" customHeight="1" x14ac:dyDescent="0.2"/>
    <row r="507" s="29" customFormat="1" ht="12.75" customHeight="1" x14ac:dyDescent="0.2"/>
    <row r="508" s="29" customFormat="1" ht="12.75" customHeight="1" x14ac:dyDescent="0.2"/>
    <row r="509" s="29" customFormat="1" ht="12.75" customHeight="1" x14ac:dyDescent="0.2"/>
    <row r="510" s="29" customFormat="1" ht="12.75" customHeight="1" x14ac:dyDescent="0.2"/>
    <row r="511" s="29" customFormat="1" ht="12.75" customHeight="1" x14ac:dyDescent="0.2"/>
    <row r="512" s="29" customFormat="1" ht="12.75" customHeight="1" x14ac:dyDescent="0.2"/>
    <row r="513" s="29" customFormat="1" ht="12.75" customHeight="1" x14ac:dyDescent="0.2"/>
    <row r="514" s="29" customFormat="1" ht="12.75" customHeight="1" x14ac:dyDescent="0.2"/>
    <row r="515" s="29" customFormat="1" ht="12.75" customHeight="1" x14ac:dyDescent="0.2"/>
    <row r="516" s="29" customFormat="1" ht="12.75" customHeight="1" x14ac:dyDescent="0.2"/>
    <row r="517" s="29" customFormat="1" ht="12.75" customHeight="1" x14ac:dyDescent="0.2"/>
    <row r="518" s="29" customFormat="1" ht="12.75" customHeight="1" x14ac:dyDescent="0.2"/>
    <row r="519" s="29" customFormat="1" ht="12.75" customHeight="1" x14ac:dyDescent="0.2"/>
    <row r="520" s="29" customFormat="1" ht="12.75" customHeight="1" x14ac:dyDescent="0.2"/>
    <row r="521" s="29" customFormat="1" ht="12.75" customHeight="1" x14ac:dyDescent="0.2"/>
    <row r="522" s="29" customFormat="1" ht="12.75" customHeight="1" x14ac:dyDescent="0.2"/>
    <row r="523" s="29" customFormat="1" ht="12.75" customHeight="1" x14ac:dyDescent="0.2"/>
    <row r="524" s="29" customFormat="1" ht="12.75" customHeight="1" x14ac:dyDescent="0.2"/>
    <row r="525" s="29" customFormat="1" ht="12.75" customHeight="1" x14ac:dyDescent="0.2"/>
    <row r="526" s="29" customFormat="1" ht="12.75" customHeight="1" x14ac:dyDescent="0.2"/>
    <row r="527" s="29" customFormat="1" ht="12.75" customHeight="1" x14ac:dyDescent="0.2"/>
    <row r="528" s="29" customFormat="1" ht="12.75" customHeight="1" x14ac:dyDescent="0.2"/>
    <row r="529" s="29" customFormat="1" ht="12.75" customHeight="1" x14ac:dyDescent="0.2"/>
    <row r="530" s="29" customFormat="1" ht="12.75" customHeight="1" x14ac:dyDescent="0.2"/>
    <row r="531" s="29" customFormat="1" ht="12.75" customHeight="1" x14ac:dyDescent="0.2"/>
    <row r="532" s="29" customFormat="1" ht="12.75" customHeight="1" x14ac:dyDescent="0.2"/>
    <row r="533" s="29" customFormat="1" ht="12.75" customHeight="1" x14ac:dyDescent="0.2"/>
    <row r="534" s="29" customFormat="1" ht="12.75" customHeight="1" x14ac:dyDescent="0.2"/>
    <row r="535" s="29" customFormat="1" ht="12.75" customHeight="1" x14ac:dyDescent="0.2"/>
    <row r="536" s="29" customFormat="1" ht="12.75" customHeight="1" x14ac:dyDescent="0.2"/>
    <row r="537" s="29" customFormat="1" ht="12.75" customHeight="1" x14ac:dyDescent="0.2"/>
    <row r="538" s="29" customFormat="1" ht="12.75" customHeight="1" x14ac:dyDescent="0.2"/>
    <row r="539" s="29" customFormat="1" ht="12.75" customHeight="1" x14ac:dyDescent="0.2"/>
    <row r="540" s="29" customFormat="1" ht="12.75" customHeight="1" x14ac:dyDescent="0.2"/>
    <row r="541" s="29" customFormat="1" ht="12.75" customHeight="1" x14ac:dyDescent="0.2"/>
    <row r="542" s="29" customFormat="1" ht="12.75" customHeight="1" x14ac:dyDescent="0.2"/>
    <row r="543" s="29" customFormat="1" ht="12.75" customHeight="1" x14ac:dyDescent="0.2"/>
    <row r="544" s="29" customFormat="1" ht="12.75" customHeight="1" x14ac:dyDescent="0.2"/>
    <row r="545" s="29" customFormat="1" ht="12.75" customHeight="1" x14ac:dyDescent="0.2"/>
    <row r="546" s="29" customFormat="1" ht="12.75" customHeight="1" x14ac:dyDescent="0.2"/>
    <row r="547" s="29" customFormat="1" ht="12.75" customHeight="1" x14ac:dyDescent="0.2"/>
    <row r="548" s="29" customFormat="1" ht="12.75" customHeight="1" x14ac:dyDescent="0.2"/>
    <row r="549" s="29" customFormat="1" ht="12.75" customHeight="1" x14ac:dyDescent="0.2"/>
    <row r="550" s="29" customFormat="1" ht="12.75" customHeight="1" x14ac:dyDescent="0.2"/>
    <row r="551" s="29" customFormat="1" ht="12.75" customHeight="1" x14ac:dyDescent="0.2"/>
    <row r="552" s="29" customFormat="1" ht="12.75" customHeight="1" x14ac:dyDescent="0.2"/>
    <row r="553" s="29" customFormat="1" ht="12.75" customHeight="1" x14ac:dyDescent="0.2"/>
    <row r="554" s="29" customFormat="1" ht="12.75" customHeight="1" x14ac:dyDescent="0.2"/>
    <row r="555" s="29" customFormat="1" ht="12.75" customHeight="1" x14ac:dyDescent="0.2"/>
    <row r="556" s="29" customFormat="1" ht="12.75" customHeight="1" x14ac:dyDescent="0.2"/>
    <row r="557" s="29" customFormat="1" ht="12.75" customHeight="1" x14ac:dyDescent="0.2"/>
    <row r="558" s="29" customFormat="1" ht="12.75" customHeight="1" x14ac:dyDescent="0.2"/>
    <row r="559" s="29" customFormat="1" ht="12.75" customHeight="1" x14ac:dyDescent="0.2"/>
    <row r="560" s="29" customFormat="1" ht="12.75" customHeight="1" x14ac:dyDescent="0.2"/>
    <row r="561" s="29" customFormat="1" ht="12.75" customHeight="1" x14ac:dyDescent="0.2"/>
    <row r="562" s="29" customFormat="1" ht="12.75" customHeight="1" x14ac:dyDescent="0.2"/>
    <row r="563" s="29" customFormat="1" ht="12.75" customHeight="1" x14ac:dyDescent="0.2"/>
    <row r="564" s="29" customFormat="1" ht="12.75" customHeight="1" x14ac:dyDescent="0.2"/>
    <row r="565" s="29" customFormat="1" ht="12.75" customHeight="1" x14ac:dyDescent="0.2"/>
    <row r="566" s="29" customFormat="1" ht="12.75" customHeight="1" x14ac:dyDescent="0.2"/>
    <row r="567" s="29" customFormat="1" ht="12.75" customHeight="1" x14ac:dyDescent="0.2"/>
    <row r="568" s="29" customFormat="1" ht="12.75" customHeight="1" x14ac:dyDescent="0.2"/>
    <row r="569" s="29" customFormat="1" ht="12.75" customHeight="1" x14ac:dyDescent="0.2"/>
    <row r="570" s="29" customFormat="1" ht="12.75" customHeight="1" x14ac:dyDescent="0.2"/>
    <row r="571" s="29" customFormat="1" ht="12.75" customHeight="1" x14ac:dyDescent="0.2"/>
    <row r="572" s="29" customFormat="1" ht="12.75" customHeight="1" x14ac:dyDescent="0.2"/>
    <row r="573" s="29" customFormat="1" ht="12.75" customHeight="1" x14ac:dyDescent="0.2"/>
    <row r="574" s="29" customFormat="1" ht="12.75" customHeight="1" x14ac:dyDescent="0.2"/>
    <row r="575" s="29" customFormat="1" ht="12.75" customHeight="1" x14ac:dyDescent="0.2"/>
    <row r="576" s="29" customFormat="1" ht="12.75" customHeight="1" x14ac:dyDescent="0.2"/>
    <row r="577" s="29" customFormat="1" ht="12.75" customHeight="1" x14ac:dyDescent="0.2"/>
    <row r="578" s="29" customFormat="1" ht="12.75" customHeight="1" x14ac:dyDescent="0.2"/>
    <row r="579" s="29" customFormat="1" ht="12.75" customHeight="1" x14ac:dyDescent="0.2"/>
    <row r="580" s="29" customFormat="1" ht="12.75" customHeight="1" x14ac:dyDescent="0.2"/>
    <row r="581" s="29" customFormat="1" ht="12.75" customHeight="1" x14ac:dyDescent="0.2"/>
    <row r="582" s="29" customFormat="1" ht="12.75" customHeight="1" x14ac:dyDescent="0.2"/>
    <row r="583" s="29" customFormat="1" ht="12.75" customHeight="1" x14ac:dyDescent="0.2"/>
    <row r="584" s="29" customFormat="1" ht="12.75" customHeight="1" x14ac:dyDescent="0.2"/>
    <row r="585" s="29" customFormat="1" ht="12.75" customHeight="1" x14ac:dyDescent="0.2"/>
    <row r="586" s="29" customFormat="1" ht="12.75" customHeight="1" x14ac:dyDescent="0.2"/>
    <row r="587" s="29" customFormat="1" ht="12.75" customHeight="1" x14ac:dyDescent="0.2"/>
    <row r="588" s="29" customFormat="1" ht="12.75" customHeight="1" x14ac:dyDescent="0.2"/>
    <row r="589" s="29" customFormat="1" ht="12.75" customHeight="1" x14ac:dyDescent="0.2"/>
    <row r="590" s="29" customFormat="1" ht="12.75" customHeight="1" x14ac:dyDescent="0.2"/>
    <row r="591" s="29" customFormat="1" ht="12.75" customHeight="1" x14ac:dyDescent="0.2"/>
    <row r="592" s="29" customFormat="1" ht="12.75" customHeight="1" x14ac:dyDescent="0.2"/>
    <row r="593" s="29" customFormat="1" ht="12.75" customHeight="1" x14ac:dyDescent="0.2"/>
    <row r="594" s="29" customFormat="1" ht="12.75" customHeight="1" x14ac:dyDescent="0.2"/>
    <row r="595" s="29" customFormat="1" ht="12.75" customHeight="1" x14ac:dyDescent="0.2"/>
    <row r="596" s="29" customFormat="1" ht="12.75" customHeight="1" x14ac:dyDescent="0.2"/>
    <row r="597" s="29" customFormat="1" ht="12.75" customHeight="1" x14ac:dyDescent="0.2"/>
    <row r="598" s="29" customFormat="1" ht="12.75" customHeight="1" x14ac:dyDescent="0.2"/>
    <row r="599" s="29" customFormat="1" ht="12.75" customHeight="1" x14ac:dyDescent="0.2"/>
    <row r="600" s="29" customFormat="1" ht="12.75" customHeight="1" x14ac:dyDescent="0.2"/>
    <row r="601" s="29" customFormat="1" ht="12.75" customHeight="1" x14ac:dyDescent="0.2"/>
    <row r="602" s="29" customFormat="1" ht="12.75" customHeight="1" x14ac:dyDescent="0.2"/>
    <row r="603" s="29" customFormat="1" ht="12.75" customHeight="1" x14ac:dyDescent="0.2"/>
    <row r="604" s="29" customFormat="1" ht="12.75" customHeight="1" x14ac:dyDescent="0.2"/>
    <row r="605" s="29" customFormat="1" ht="12.75" customHeight="1" x14ac:dyDescent="0.2"/>
    <row r="606" s="29" customFormat="1" ht="12.75" customHeight="1" x14ac:dyDescent="0.2"/>
    <row r="607" s="29" customFormat="1" ht="12.75" customHeight="1" x14ac:dyDescent="0.2"/>
    <row r="608" s="29" customFormat="1" ht="12.75" customHeight="1" x14ac:dyDescent="0.2"/>
    <row r="609" s="29" customFormat="1" ht="12.75" customHeight="1" x14ac:dyDescent="0.2"/>
    <row r="610" s="29" customFormat="1" ht="12.75" customHeight="1" x14ac:dyDescent="0.2"/>
    <row r="611" s="29" customFormat="1" ht="12.75" customHeight="1" x14ac:dyDescent="0.2"/>
    <row r="612" s="29" customFormat="1" ht="12.75" customHeight="1" x14ac:dyDescent="0.2"/>
    <row r="613" s="29" customFormat="1" ht="12.75" customHeight="1" x14ac:dyDescent="0.2"/>
    <row r="614" s="29" customFormat="1" ht="12.75" customHeight="1" x14ac:dyDescent="0.2"/>
    <row r="615" s="29" customFormat="1" ht="12.75" customHeight="1" x14ac:dyDescent="0.2"/>
    <row r="616" s="29" customFormat="1" ht="12.75" customHeight="1" x14ac:dyDescent="0.2"/>
    <row r="617" s="29" customFormat="1" ht="12.75" customHeight="1" x14ac:dyDescent="0.2"/>
    <row r="618" s="29" customFormat="1" ht="12.75" customHeight="1" x14ac:dyDescent="0.2"/>
    <row r="619" s="29" customFormat="1" ht="12.75" customHeight="1" x14ac:dyDescent="0.2"/>
    <row r="620" s="29" customFormat="1" ht="12.75" customHeight="1" x14ac:dyDescent="0.2"/>
    <row r="621" s="29" customFormat="1" ht="12.75" customHeight="1" x14ac:dyDescent="0.2"/>
    <row r="622" s="29" customFormat="1" ht="12.75" customHeight="1" x14ac:dyDescent="0.2"/>
    <row r="623" s="29" customFormat="1" ht="12.75" customHeight="1" x14ac:dyDescent="0.2"/>
    <row r="624" s="29" customFormat="1" ht="12.75" customHeight="1" x14ac:dyDescent="0.2"/>
    <row r="625" s="29" customFormat="1" ht="12.75" customHeight="1" x14ac:dyDescent="0.2"/>
    <row r="626" s="29" customFormat="1" ht="12.75" customHeight="1" x14ac:dyDescent="0.2"/>
    <row r="627" s="29" customFormat="1" ht="12.75" customHeight="1" x14ac:dyDescent="0.2"/>
    <row r="628" s="29" customFormat="1" ht="12.75" customHeight="1" x14ac:dyDescent="0.2"/>
    <row r="629" s="29" customFormat="1" ht="12.75" customHeight="1" x14ac:dyDescent="0.2"/>
    <row r="630" s="29" customFormat="1" ht="12.75" customHeight="1" x14ac:dyDescent="0.2"/>
    <row r="631" s="29" customFormat="1" ht="12.75" customHeight="1" x14ac:dyDescent="0.2"/>
    <row r="632" s="29" customFormat="1" ht="12.75" customHeight="1" x14ac:dyDescent="0.2"/>
    <row r="633" s="29" customFormat="1" ht="12.75" customHeight="1" x14ac:dyDescent="0.2"/>
    <row r="634" s="29" customFormat="1" ht="12.75" customHeight="1" x14ac:dyDescent="0.2"/>
    <row r="635" s="29" customFormat="1" ht="12.75" customHeight="1" x14ac:dyDescent="0.2"/>
    <row r="636" s="29" customFormat="1" ht="12.75" customHeight="1" x14ac:dyDescent="0.2"/>
    <row r="637" s="29" customFormat="1" ht="12.75" customHeight="1" x14ac:dyDescent="0.2"/>
    <row r="638" s="29" customFormat="1" ht="12.75" customHeight="1" x14ac:dyDescent="0.2"/>
    <row r="639" s="29" customFormat="1" ht="12.75" customHeight="1" x14ac:dyDescent="0.2"/>
    <row r="640" s="29" customFormat="1" ht="12.75" customHeight="1" x14ac:dyDescent="0.2"/>
    <row r="641" s="29" customFormat="1" ht="12.75" customHeight="1" x14ac:dyDescent="0.2"/>
    <row r="642" s="29" customFormat="1" ht="12.75" customHeight="1" x14ac:dyDescent="0.2"/>
    <row r="643" s="29" customFormat="1" ht="12.75" customHeight="1" x14ac:dyDescent="0.2"/>
    <row r="644" s="29" customFormat="1" ht="12.75" customHeight="1" x14ac:dyDescent="0.2"/>
    <row r="645" s="29" customFormat="1" ht="12.75" customHeight="1" x14ac:dyDescent="0.2"/>
    <row r="646" s="29" customFormat="1" ht="12.75" customHeight="1" x14ac:dyDescent="0.2"/>
    <row r="647" s="29" customFormat="1" ht="12.75" customHeight="1" x14ac:dyDescent="0.2"/>
    <row r="648" s="29" customFormat="1" ht="12.75" customHeight="1" x14ac:dyDescent="0.2"/>
    <row r="649" s="29" customFormat="1" ht="12.75" customHeight="1" x14ac:dyDescent="0.2"/>
    <row r="650" s="29" customFormat="1" ht="12.75" customHeight="1" x14ac:dyDescent="0.2"/>
    <row r="651" s="29" customFormat="1" ht="12.75" customHeight="1" x14ac:dyDescent="0.2"/>
    <row r="652" s="29" customFormat="1" ht="12.75" customHeight="1" x14ac:dyDescent="0.2"/>
    <row r="653" s="29" customFormat="1" ht="12.75" customHeight="1" x14ac:dyDescent="0.2"/>
    <row r="654" s="29" customFormat="1" ht="12.75" customHeight="1" x14ac:dyDescent="0.2"/>
    <row r="655" s="29" customFormat="1" ht="12.75" customHeight="1" x14ac:dyDescent="0.2"/>
    <row r="656" s="29" customFormat="1" ht="12.75" customHeight="1" x14ac:dyDescent="0.2"/>
    <row r="657" s="29" customFormat="1" ht="12.75" customHeight="1" x14ac:dyDescent="0.2"/>
    <row r="658" s="29" customFormat="1" ht="12.75" customHeight="1" x14ac:dyDescent="0.2"/>
    <row r="659" s="29" customFormat="1" ht="12.75" customHeight="1" x14ac:dyDescent="0.2"/>
    <row r="660" s="29" customFormat="1" ht="12.75" customHeight="1" x14ac:dyDescent="0.2"/>
    <row r="661" s="29" customFormat="1" ht="12.75" customHeight="1" x14ac:dyDescent="0.2"/>
    <row r="662" s="29" customFormat="1" ht="12.75" customHeight="1" x14ac:dyDescent="0.2"/>
    <row r="663" s="29" customFormat="1" ht="12.75" customHeight="1" x14ac:dyDescent="0.2"/>
    <row r="664" s="29" customFormat="1" ht="12.75" customHeight="1" x14ac:dyDescent="0.2"/>
    <row r="665" s="29" customFormat="1" ht="12.75" customHeight="1" x14ac:dyDescent="0.2"/>
    <row r="666" s="29" customFormat="1" ht="12.75" customHeight="1" x14ac:dyDescent="0.2"/>
    <row r="667" s="29" customFormat="1" ht="12.75" customHeight="1" x14ac:dyDescent="0.2"/>
    <row r="668" s="29" customFormat="1" ht="12.75" customHeight="1" x14ac:dyDescent="0.2"/>
    <row r="669" s="29" customFormat="1" ht="12.75" customHeight="1" x14ac:dyDescent="0.2"/>
    <row r="670" s="29" customFormat="1" ht="12.75" customHeight="1" x14ac:dyDescent="0.2"/>
    <row r="671" s="29" customFormat="1" ht="12.75" customHeight="1" x14ac:dyDescent="0.2"/>
    <row r="672" s="29" customFormat="1" ht="12.75" customHeight="1" x14ac:dyDescent="0.2"/>
    <row r="673" s="29" customFormat="1" ht="12.75" customHeight="1" x14ac:dyDescent="0.2"/>
    <row r="674" s="29" customFormat="1" ht="12.75" customHeight="1" x14ac:dyDescent="0.2"/>
    <row r="675" s="29" customFormat="1" ht="12.75" customHeight="1" x14ac:dyDescent="0.2"/>
    <row r="676" s="29" customFormat="1" ht="12.75" customHeight="1" x14ac:dyDescent="0.2"/>
    <row r="677" s="29" customFormat="1" ht="12.75" customHeight="1" x14ac:dyDescent="0.2"/>
    <row r="678" s="29" customFormat="1" ht="12.75" customHeight="1" x14ac:dyDescent="0.2"/>
    <row r="679" s="29" customFormat="1" ht="12.75" customHeight="1" x14ac:dyDescent="0.2"/>
    <row r="680" s="29" customFormat="1" ht="12.75" customHeight="1" x14ac:dyDescent="0.2"/>
    <row r="681" s="29" customFormat="1" ht="12.75" customHeight="1" x14ac:dyDescent="0.2"/>
    <row r="682" s="29" customFormat="1" ht="12.75" customHeight="1" x14ac:dyDescent="0.2"/>
    <row r="683" s="29" customFormat="1" ht="12.75" customHeight="1" x14ac:dyDescent="0.2"/>
    <row r="684" s="29" customFormat="1" ht="12.75" customHeight="1" x14ac:dyDescent="0.2"/>
    <row r="685" s="29" customFormat="1" ht="12.75" customHeight="1" x14ac:dyDescent="0.2"/>
    <row r="686" s="29" customFormat="1" ht="12.75" customHeight="1" x14ac:dyDescent="0.2"/>
    <row r="687" s="29" customFormat="1" ht="12.75" customHeight="1" x14ac:dyDescent="0.2"/>
    <row r="688" s="29" customFormat="1" ht="12.75" customHeight="1" x14ac:dyDescent="0.2"/>
    <row r="689" s="29" customFormat="1" ht="12.75" customHeight="1" x14ac:dyDescent="0.2"/>
    <row r="690" s="29" customFormat="1" ht="12.75" customHeight="1" x14ac:dyDescent="0.2"/>
    <row r="691" s="29" customFormat="1" ht="12.75" customHeight="1" x14ac:dyDescent="0.2"/>
    <row r="692" s="29" customFormat="1" ht="12.75" customHeight="1" x14ac:dyDescent="0.2"/>
    <row r="693" s="29" customFormat="1" ht="12.75" customHeight="1" x14ac:dyDescent="0.2"/>
    <row r="694" s="29" customFormat="1" ht="12.75" customHeight="1" x14ac:dyDescent="0.2"/>
    <row r="695" s="29" customFormat="1" ht="12.75" customHeight="1" x14ac:dyDescent="0.2"/>
    <row r="696" s="29" customFormat="1" ht="12.75" customHeight="1" x14ac:dyDescent="0.2"/>
    <row r="697" s="29" customFormat="1" ht="12.75" customHeight="1" x14ac:dyDescent="0.2"/>
    <row r="698" s="29" customFormat="1" ht="12.75" customHeight="1" x14ac:dyDescent="0.2"/>
    <row r="699" s="29" customFormat="1" ht="12.75" customHeight="1" x14ac:dyDescent="0.2"/>
    <row r="700" s="29" customFormat="1" ht="12.75" customHeight="1" x14ac:dyDescent="0.2"/>
    <row r="701" s="29" customFormat="1" ht="12.75" customHeight="1" x14ac:dyDescent="0.2"/>
    <row r="702" s="29" customFormat="1" ht="12.75" customHeight="1" x14ac:dyDescent="0.2"/>
    <row r="703" s="29" customFormat="1" ht="12.75" customHeight="1" x14ac:dyDescent="0.2"/>
    <row r="704" s="29" customFormat="1" ht="12.75" customHeight="1" x14ac:dyDescent="0.2"/>
    <row r="705" s="29" customFormat="1" ht="12.75" customHeight="1" x14ac:dyDescent="0.2"/>
    <row r="706" s="29" customFormat="1" ht="12.75" customHeight="1" x14ac:dyDescent="0.2"/>
    <row r="707" s="29" customFormat="1" ht="12.75" customHeight="1" x14ac:dyDescent="0.2"/>
    <row r="708" s="29" customFormat="1" ht="12.75" customHeight="1" x14ac:dyDescent="0.2"/>
    <row r="709" s="29" customFormat="1" ht="12.75" customHeight="1" x14ac:dyDescent="0.2"/>
    <row r="710" s="29" customFormat="1" ht="12.75" customHeight="1" x14ac:dyDescent="0.2"/>
    <row r="711" s="29" customFormat="1" ht="12.75" customHeight="1" x14ac:dyDescent="0.2"/>
    <row r="712" s="29" customFormat="1" ht="12.75" customHeight="1" x14ac:dyDescent="0.2"/>
    <row r="713" s="29" customFormat="1" ht="12.75" customHeight="1" x14ac:dyDescent="0.2"/>
    <row r="714" s="29" customFormat="1" ht="12.75" customHeight="1" x14ac:dyDescent="0.2"/>
    <row r="715" s="29" customFormat="1" ht="12.75" customHeight="1" x14ac:dyDescent="0.2"/>
    <row r="716" s="29" customFormat="1" ht="12.75" customHeight="1" x14ac:dyDescent="0.2"/>
    <row r="717" s="29" customFormat="1" ht="12.75" customHeight="1" x14ac:dyDescent="0.2"/>
    <row r="718" s="29" customFormat="1" ht="12.75" customHeight="1" x14ac:dyDescent="0.2"/>
    <row r="719" s="29" customFormat="1" ht="12.75" customHeight="1" x14ac:dyDescent="0.2"/>
    <row r="720" s="29" customFormat="1" ht="12.75" customHeight="1" x14ac:dyDescent="0.2"/>
    <row r="721" s="29" customFormat="1" ht="12.75" customHeight="1" x14ac:dyDescent="0.2"/>
    <row r="722" s="29" customFormat="1" ht="12.75" customHeight="1" x14ac:dyDescent="0.2"/>
    <row r="723" s="29" customFormat="1" ht="12.75" customHeight="1" x14ac:dyDescent="0.2"/>
    <row r="724" s="29" customFormat="1" ht="12.75" customHeight="1" x14ac:dyDescent="0.2"/>
    <row r="725" s="29" customFormat="1" ht="12.75" customHeight="1" x14ac:dyDescent="0.2"/>
    <row r="726" s="29" customFormat="1" ht="12.75" customHeight="1" x14ac:dyDescent="0.2"/>
    <row r="727" s="29" customFormat="1" ht="12.75" customHeight="1" x14ac:dyDescent="0.2"/>
    <row r="728" s="29" customFormat="1" ht="12.75" customHeight="1" x14ac:dyDescent="0.2"/>
    <row r="729" s="29" customFormat="1" ht="12.75" customHeight="1" x14ac:dyDescent="0.2"/>
    <row r="730" s="29" customFormat="1" ht="12.75" customHeight="1" x14ac:dyDescent="0.2"/>
    <row r="731" s="29" customFormat="1" ht="12.75" customHeight="1" x14ac:dyDescent="0.2"/>
    <row r="732" s="29" customFormat="1" ht="12.75" customHeight="1" x14ac:dyDescent="0.2"/>
    <row r="733" s="29" customFormat="1" ht="12.75" customHeight="1" x14ac:dyDescent="0.2"/>
    <row r="734" s="29" customFormat="1" ht="12.75" customHeight="1" x14ac:dyDescent="0.2"/>
    <row r="735" s="29" customFormat="1" ht="12.75" customHeight="1" x14ac:dyDescent="0.2"/>
    <row r="736" s="29" customFormat="1" ht="12.75" customHeight="1" x14ac:dyDescent="0.2"/>
    <row r="737" s="29" customFormat="1" ht="12.75" customHeight="1" x14ac:dyDescent="0.2"/>
    <row r="738" s="29" customFormat="1" ht="12.75" customHeight="1" x14ac:dyDescent="0.2"/>
    <row r="739" s="29" customFormat="1" ht="12.75" customHeight="1" x14ac:dyDescent="0.2"/>
    <row r="740" s="29" customFormat="1" ht="12.75" customHeight="1" x14ac:dyDescent="0.2"/>
    <row r="741" s="29" customFormat="1" ht="12.75" customHeight="1" x14ac:dyDescent="0.2"/>
    <row r="742" s="29" customFormat="1" ht="12.75" customHeight="1" x14ac:dyDescent="0.2"/>
    <row r="743" s="29" customFormat="1" ht="12.75" customHeight="1" x14ac:dyDescent="0.2"/>
    <row r="744" s="29" customFormat="1" ht="12.75" customHeight="1" x14ac:dyDescent="0.2"/>
    <row r="745" s="29" customFormat="1" ht="12.75" customHeight="1" x14ac:dyDescent="0.2"/>
    <row r="746" s="29" customFormat="1" ht="12.75" customHeight="1" x14ac:dyDescent="0.2"/>
    <row r="747" s="29" customFormat="1" ht="12.75" customHeight="1" x14ac:dyDescent="0.2"/>
    <row r="748" s="29" customFormat="1" ht="12.75" customHeight="1" x14ac:dyDescent="0.2"/>
    <row r="749" s="29" customFormat="1" ht="12.75" customHeight="1" x14ac:dyDescent="0.2"/>
    <row r="750" s="29" customFormat="1" ht="12.75" customHeight="1" x14ac:dyDescent="0.2"/>
    <row r="751" s="29" customFormat="1" ht="12.75" customHeight="1" x14ac:dyDescent="0.2"/>
    <row r="752" s="29" customFormat="1" ht="12.75" customHeight="1" x14ac:dyDescent="0.2"/>
    <row r="753" s="29" customFormat="1" ht="12.75" customHeight="1" x14ac:dyDescent="0.2"/>
    <row r="754" s="29" customFormat="1" ht="12.75" customHeight="1" x14ac:dyDescent="0.2"/>
    <row r="755" s="29" customFormat="1" ht="12.75" customHeight="1" x14ac:dyDescent="0.2"/>
    <row r="756" s="29" customFormat="1" ht="12.75" customHeight="1" x14ac:dyDescent="0.2"/>
    <row r="757" s="29" customFormat="1" ht="12.75" customHeight="1" x14ac:dyDescent="0.2"/>
    <row r="758" s="29" customFormat="1" ht="12.75" customHeight="1" x14ac:dyDescent="0.2"/>
    <row r="759" s="29" customFormat="1" ht="12.75" customHeight="1" x14ac:dyDescent="0.2"/>
    <row r="760" s="29" customFormat="1" ht="12.75" customHeight="1" x14ac:dyDescent="0.2"/>
    <row r="761" s="29" customFormat="1" ht="12.75" customHeight="1" x14ac:dyDescent="0.2"/>
    <row r="762" s="29" customFormat="1" ht="12.75" customHeight="1" x14ac:dyDescent="0.2"/>
    <row r="763" s="29" customFormat="1" ht="12.75" customHeight="1" x14ac:dyDescent="0.2"/>
    <row r="764" s="29" customFormat="1" ht="12.75" customHeight="1" x14ac:dyDescent="0.2"/>
    <row r="765" s="29" customFormat="1" ht="12.75" customHeight="1" x14ac:dyDescent="0.2"/>
    <row r="766" s="29" customFormat="1" ht="12.75" customHeight="1" x14ac:dyDescent="0.2"/>
    <row r="767" s="29" customFormat="1" ht="12.75" customHeight="1" x14ac:dyDescent="0.2"/>
    <row r="768" s="29" customFormat="1" ht="12.75" customHeight="1" x14ac:dyDescent="0.2"/>
    <row r="769" s="29" customFormat="1" ht="12.75" customHeight="1" x14ac:dyDescent="0.2"/>
    <row r="770" s="29" customFormat="1" ht="12.75" customHeight="1" x14ac:dyDescent="0.2"/>
    <row r="771" s="29" customFormat="1" ht="12.75" customHeight="1" x14ac:dyDescent="0.2"/>
    <row r="772" s="29" customFormat="1" ht="12.75" customHeight="1" x14ac:dyDescent="0.2"/>
    <row r="773" s="29" customFormat="1" ht="12.75" customHeight="1" x14ac:dyDescent="0.2"/>
    <row r="774" s="29" customFormat="1" ht="12.75" customHeight="1" x14ac:dyDescent="0.2"/>
    <row r="775" s="29" customFormat="1" ht="12.75" customHeight="1" x14ac:dyDescent="0.2"/>
    <row r="776" s="29" customFormat="1" ht="12.75" customHeight="1" x14ac:dyDescent="0.2"/>
    <row r="777" s="29" customFormat="1" ht="12.75" customHeight="1" x14ac:dyDescent="0.2"/>
    <row r="778" s="29" customFormat="1" ht="12.75" customHeight="1" x14ac:dyDescent="0.2"/>
    <row r="779" s="29" customFormat="1" ht="12.75" customHeight="1" x14ac:dyDescent="0.2"/>
    <row r="780" s="29" customFormat="1" ht="12.75" customHeight="1" x14ac:dyDescent="0.2"/>
    <row r="781" s="29" customFormat="1" ht="12.75" customHeight="1" x14ac:dyDescent="0.2"/>
    <row r="782" s="29" customFormat="1" ht="12.75" customHeight="1" x14ac:dyDescent="0.2"/>
    <row r="783" s="29" customFormat="1" ht="12.75" customHeight="1" x14ac:dyDescent="0.2"/>
    <row r="784" s="29" customFormat="1" ht="12.75" customHeight="1" x14ac:dyDescent="0.2"/>
    <row r="785" s="29" customFormat="1" ht="12.75" customHeight="1" x14ac:dyDescent="0.2"/>
    <row r="786" s="29" customFormat="1" ht="12.75" customHeight="1" x14ac:dyDescent="0.2"/>
    <row r="787" s="29" customFormat="1" ht="12.75" customHeight="1" x14ac:dyDescent="0.2"/>
    <row r="788" s="29" customFormat="1" ht="12.75" customHeight="1" x14ac:dyDescent="0.2"/>
    <row r="789" s="29" customFormat="1" ht="12.75" customHeight="1" x14ac:dyDescent="0.2"/>
    <row r="790" s="29" customFormat="1" ht="12.75" customHeight="1" x14ac:dyDescent="0.2"/>
    <row r="791" s="29" customFormat="1" ht="12.75" customHeight="1" x14ac:dyDescent="0.2"/>
    <row r="792" s="29" customFormat="1" ht="12.75" customHeight="1" x14ac:dyDescent="0.2"/>
    <row r="793" s="29" customFormat="1" ht="12.75" customHeight="1" x14ac:dyDescent="0.2"/>
    <row r="794" s="29" customFormat="1" ht="12.75" customHeight="1" x14ac:dyDescent="0.2"/>
    <row r="795" s="29" customFormat="1" ht="12.75" customHeight="1" x14ac:dyDescent="0.2"/>
    <row r="796" s="29" customFormat="1" ht="12.75" customHeight="1" x14ac:dyDescent="0.2"/>
    <row r="797" s="29" customFormat="1" ht="12.75" customHeight="1" x14ac:dyDescent="0.2"/>
    <row r="798" s="29" customFormat="1" ht="12.75" customHeight="1" x14ac:dyDescent="0.2"/>
    <row r="799" s="29" customFormat="1" ht="12.75" customHeight="1" x14ac:dyDescent="0.2"/>
    <row r="800" s="29" customFormat="1" ht="12.75" customHeight="1" x14ac:dyDescent="0.2"/>
    <row r="801" s="29" customFormat="1" ht="12.75" customHeight="1" x14ac:dyDescent="0.2"/>
    <row r="802" s="29" customFormat="1" ht="12.75" customHeight="1" x14ac:dyDescent="0.2"/>
    <row r="803" s="29" customFormat="1" ht="12.75" customHeight="1" x14ac:dyDescent="0.2"/>
    <row r="804" s="29" customFormat="1" ht="12.75" customHeight="1" x14ac:dyDescent="0.2"/>
    <row r="805" s="29" customFormat="1" ht="12.75" customHeight="1" x14ac:dyDescent="0.2"/>
    <row r="806" s="29" customFormat="1" ht="12.75" customHeight="1" x14ac:dyDescent="0.2"/>
    <row r="807" s="29" customFormat="1" ht="12.75" customHeight="1" x14ac:dyDescent="0.2"/>
    <row r="808" s="29" customFormat="1" ht="12.75" customHeight="1" x14ac:dyDescent="0.2"/>
    <row r="809" s="29" customFormat="1" ht="12.75" customHeight="1" x14ac:dyDescent="0.2"/>
    <row r="810" s="29" customFormat="1" ht="12.75" customHeight="1" x14ac:dyDescent="0.2"/>
    <row r="811" s="29" customFormat="1" ht="12.75" customHeight="1" x14ac:dyDescent="0.2"/>
    <row r="812" s="29" customFormat="1" ht="12.75" customHeight="1" x14ac:dyDescent="0.2"/>
    <row r="813" s="29" customFormat="1" ht="12.75" customHeight="1" x14ac:dyDescent="0.2"/>
    <row r="814" s="29" customFormat="1" ht="12.75" customHeight="1" x14ac:dyDescent="0.2"/>
    <row r="815" s="29" customFormat="1" ht="12.75" customHeight="1" x14ac:dyDescent="0.2"/>
    <row r="816" s="29" customFormat="1" ht="12.75" customHeight="1" x14ac:dyDescent="0.2"/>
    <row r="817" s="29" customFormat="1" ht="12.75" customHeight="1" x14ac:dyDescent="0.2"/>
    <row r="818" s="29" customFormat="1" ht="12.75" customHeight="1" x14ac:dyDescent="0.2"/>
    <row r="819" s="29" customFormat="1" ht="12.75" customHeight="1" x14ac:dyDescent="0.2"/>
    <row r="820" s="29" customFormat="1" ht="12.75" customHeight="1" x14ac:dyDescent="0.2"/>
    <row r="821" s="29" customFormat="1" ht="12.75" customHeight="1" x14ac:dyDescent="0.2"/>
    <row r="822" s="29" customFormat="1" ht="12.75" customHeight="1" x14ac:dyDescent="0.2"/>
    <row r="823" s="29" customFormat="1" ht="12.75" customHeight="1" x14ac:dyDescent="0.2"/>
    <row r="824" s="29" customFormat="1" ht="12.75" customHeight="1" x14ac:dyDescent="0.2"/>
    <row r="825" s="29" customFormat="1" ht="12.75" customHeight="1" x14ac:dyDescent="0.2"/>
    <row r="826" s="29" customFormat="1" ht="12.75" customHeight="1" x14ac:dyDescent="0.2"/>
    <row r="827" s="29" customFormat="1" ht="12.75" customHeight="1" x14ac:dyDescent="0.2"/>
    <row r="828" s="29" customFormat="1" ht="12.75" customHeight="1" x14ac:dyDescent="0.2"/>
    <row r="829" s="29" customFormat="1" ht="12.75" customHeight="1" x14ac:dyDescent="0.2"/>
    <row r="830" s="29" customFormat="1" ht="12.75" customHeight="1" x14ac:dyDescent="0.2"/>
    <row r="831" s="29" customFormat="1" ht="12.75" customHeight="1" x14ac:dyDescent="0.2"/>
    <row r="832" s="29" customFormat="1" ht="12.75" customHeight="1" x14ac:dyDescent="0.2"/>
    <row r="833" s="29" customFormat="1" ht="12.75" customHeight="1" x14ac:dyDescent="0.2"/>
    <row r="834" s="29" customFormat="1" ht="12.75" customHeight="1" x14ac:dyDescent="0.2"/>
    <row r="835" s="29" customFormat="1" ht="12.75" customHeight="1" x14ac:dyDescent="0.2"/>
    <row r="836" s="29" customFormat="1" ht="12.75" customHeight="1" x14ac:dyDescent="0.2"/>
    <row r="837" s="29" customFormat="1" ht="12.75" customHeight="1" x14ac:dyDescent="0.2"/>
    <row r="838" s="29" customFormat="1" ht="12.75" customHeight="1" x14ac:dyDescent="0.2"/>
    <row r="839" s="29" customFormat="1" ht="12.75" customHeight="1" x14ac:dyDescent="0.2"/>
    <row r="840" s="29" customFormat="1" ht="12.75" customHeight="1" x14ac:dyDescent="0.2"/>
    <row r="841" s="29" customFormat="1" ht="12.75" customHeight="1" x14ac:dyDescent="0.2"/>
    <row r="842" s="29" customFormat="1" ht="12.75" customHeight="1" x14ac:dyDescent="0.2"/>
    <row r="843" s="29" customFormat="1" ht="12.75" customHeight="1" x14ac:dyDescent="0.2"/>
    <row r="844" s="29" customFormat="1" ht="12.75" customHeight="1" x14ac:dyDescent="0.2"/>
    <row r="845" s="29" customFormat="1" ht="12.75" customHeight="1" x14ac:dyDescent="0.2"/>
    <row r="846" s="29" customFormat="1" ht="12.75" customHeight="1" x14ac:dyDescent="0.2"/>
    <row r="847" s="29" customFormat="1" ht="12.75" customHeight="1" x14ac:dyDescent="0.2"/>
    <row r="848" s="29" customFormat="1" ht="12.75" customHeight="1" x14ac:dyDescent="0.2"/>
    <row r="849" s="29" customFormat="1" ht="12.75" customHeight="1" x14ac:dyDescent="0.2"/>
    <row r="850" s="29" customFormat="1" ht="12.75" customHeight="1" x14ac:dyDescent="0.2"/>
    <row r="851" s="29" customFormat="1" ht="12.75" customHeight="1" x14ac:dyDescent="0.2"/>
    <row r="852" s="29" customFormat="1" ht="12.75" customHeight="1" x14ac:dyDescent="0.2"/>
    <row r="853" s="29" customFormat="1" ht="12.75" customHeight="1" x14ac:dyDescent="0.2"/>
    <row r="854" s="29" customFormat="1" ht="12.75" customHeight="1" x14ac:dyDescent="0.2"/>
    <row r="855" s="29" customFormat="1" ht="12.75" customHeight="1" x14ac:dyDescent="0.2"/>
    <row r="856" s="29" customFormat="1" ht="12.75" customHeight="1" x14ac:dyDescent="0.2"/>
    <row r="857" s="29" customFormat="1" ht="12.75" customHeight="1" x14ac:dyDescent="0.2"/>
    <row r="858" s="29" customFormat="1" ht="12.75" customHeight="1" x14ac:dyDescent="0.2"/>
    <row r="859" s="29" customFormat="1" ht="12.75" customHeight="1" x14ac:dyDescent="0.2"/>
    <row r="860" s="29" customFormat="1" ht="12.75" customHeight="1" x14ac:dyDescent="0.2"/>
    <row r="861" s="29" customFormat="1" ht="12.75" customHeight="1" x14ac:dyDescent="0.2"/>
    <row r="862" s="29" customFormat="1" ht="12.75" customHeight="1" x14ac:dyDescent="0.2"/>
    <row r="863" s="29" customFormat="1" ht="12.75" customHeight="1" x14ac:dyDescent="0.2"/>
    <row r="864" s="29" customFormat="1" ht="12.75" customHeight="1" x14ac:dyDescent="0.2"/>
    <row r="865" s="29" customFormat="1" ht="12.75" customHeight="1" x14ac:dyDescent="0.2"/>
    <row r="866" s="29" customFormat="1" ht="12.75" customHeight="1" x14ac:dyDescent="0.2"/>
    <row r="867" s="29" customFormat="1" ht="12.75" customHeight="1" x14ac:dyDescent="0.2"/>
    <row r="868" s="29" customFormat="1" ht="12.75" customHeight="1" x14ac:dyDescent="0.2"/>
    <row r="869" s="29" customFormat="1" ht="12.75" customHeight="1" x14ac:dyDescent="0.2"/>
    <row r="870" s="29" customFormat="1" ht="12.75" customHeight="1" x14ac:dyDescent="0.2"/>
    <row r="871" s="29" customFormat="1" ht="12.75" customHeight="1" x14ac:dyDescent="0.2"/>
    <row r="872" s="29" customFormat="1" ht="12.75" customHeight="1" x14ac:dyDescent="0.2"/>
    <row r="873" s="29" customFormat="1" ht="12.75" customHeight="1" x14ac:dyDescent="0.2"/>
    <row r="874" s="29" customFormat="1" ht="12.75" customHeight="1" x14ac:dyDescent="0.2"/>
    <row r="875" s="29" customFormat="1" ht="12.75" customHeight="1" x14ac:dyDescent="0.2"/>
    <row r="876" s="29" customFormat="1" ht="12.75" customHeight="1" x14ac:dyDescent="0.2"/>
    <row r="877" s="29" customFormat="1" ht="12.75" customHeight="1" x14ac:dyDescent="0.2"/>
    <row r="878" s="29" customFormat="1" ht="12.75" customHeight="1" x14ac:dyDescent="0.2"/>
    <row r="879" s="29" customFormat="1" ht="12.75" customHeight="1" x14ac:dyDescent="0.2"/>
    <row r="880" s="29" customFormat="1" ht="12.75" customHeight="1" x14ac:dyDescent="0.2"/>
    <row r="881" s="29" customFormat="1" ht="12.75" customHeight="1" x14ac:dyDescent="0.2"/>
    <row r="882" s="29" customFormat="1" ht="12.75" customHeight="1" x14ac:dyDescent="0.2"/>
    <row r="883" s="29" customFormat="1" ht="12.75" customHeight="1" x14ac:dyDescent="0.2"/>
    <row r="884" s="29" customFormat="1" ht="12.75" customHeight="1" x14ac:dyDescent="0.2"/>
    <row r="885" s="29" customFormat="1" ht="12.75" customHeight="1" x14ac:dyDescent="0.2"/>
    <row r="886" s="29" customFormat="1" ht="12.75" customHeight="1" x14ac:dyDescent="0.2"/>
    <row r="887" s="29" customFormat="1" ht="12.75" customHeight="1" x14ac:dyDescent="0.2"/>
    <row r="888" s="29" customFormat="1" ht="12.75" customHeight="1" x14ac:dyDescent="0.2"/>
    <row r="889" s="29" customFormat="1" ht="12.75" customHeight="1" x14ac:dyDescent="0.2"/>
    <row r="890" s="29" customFormat="1" ht="12.75" customHeight="1" x14ac:dyDescent="0.2"/>
    <row r="891" s="29" customFormat="1" ht="12.75" customHeight="1" x14ac:dyDescent="0.2"/>
    <row r="892" s="29" customFormat="1" ht="12.75" customHeight="1" x14ac:dyDescent="0.2"/>
    <row r="893" s="29" customFormat="1" ht="12.75" customHeight="1" x14ac:dyDescent="0.2"/>
    <row r="894" s="29" customFormat="1" ht="12.75" customHeight="1" x14ac:dyDescent="0.2"/>
    <row r="895" s="29" customFormat="1" ht="12.75" customHeight="1" x14ac:dyDescent="0.2"/>
    <row r="896" s="29" customFormat="1" ht="12.75" customHeight="1" x14ac:dyDescent="0.2"/>
    <row r="897" s="29" customFormat="1" ht="12.75" customHeight="1" x14ac:dyDescent="0.2"/>
    <row r="898" s="29" customFormat="1" ht="12.75" customHeight="1" x14ac:dyDescent="0.2"/>
    <row r="899" s="29" customFormat="1" ht="12.75" customHeight="1" x14ac:dyDescent="0.2"/>
    <row r="900" s="29" customFormat="1" ht="12.75" customHeight="1" x14ac:dyDescent="0.2"/>
    <row r="901" s="29" customFormat="1" ht="12.75" customHeight="1" x14ac:dyDescent="0.2"/>
    <row r="902" s="29" customFormat="1" ht="12.75" customHeight="1" x14ac:dyDescent="0.2"/>
    <row r="903" s="29" customFormat="1" ht="12.75" customHeight="1" x14ac:dyDescent="0.2"/>
    <row r="904" s="29" customFormat="1" ht="12.75" customHeight="1" x14ac:dyDescent="0.2"/>
    <row r="905" s="29" customFormat="1" ht="12.75" customHeight="1" x14ac:dyDescent="0.2"/>
    <row r="906" s="29" customFormat="1" ht="12.75" customHeight="1" x14ac:dyDescent="0.2"/>
    <row r="907" s="29" customFormat="1" ht="12.75" customHeight="1" x14ac:dyDescent="0.2"/>
    <row r="908" s="29" customFormat="1" ht="12.75" customHeight="1" x14ac:dyDescent="0.2"/>
    <row r="909" s="29" customFormat="1" ht="12.75" customHeight="1" x14ac:dyDescent="0.2"/>
    <row r="910" s="29" customFormat="1" ht="12.75" customHeight="1" x14ac:dyDescent="0.2"/>
    <row r="911" s="29" customFormat="1" ht="12.75" customHeight="1" x14ac:dyDescent="0.2"/>
    <row r="912" s="29" customFormat="1" ht="12.75" customHeight="1" x14ac:dyDescent="0.2"/>
    <row r="913" s="29" customFormat="1" ht="12.75" customHeight="1" x14ac:dyDescent="0.2"/>
    <row r="914" s="29" customFormat="1" ht="12.75" customHeight="1" x14ac:dyDescent="0.2"/>
    <row r="915" s="29" customFormat="1" ht="12.75" customHeight="1" x14ac:dyDescent="0.2"/>
    <row r="916" s="29" customFormat="1" ht="12.75" customHeight="1" x14ac:dyDescent="0.2"/>
    <row r="917" s="29" customFormat="1" ht="12.75" customHeight="1" x14ac:dyDescent="0.2"/>
    <row r="918" s="29" customFormat="1" ht="12.75" customHeight="1" x14ac:dyDescent="0.2"/>
    <row r="919" s="29" customFormat="1" ht="12.75" customHeight="1" x14ac:dyDescent="0.2"/>
    <row r="920" s="29" customFormat="1" ht="12.75" customHeight="1" x14ac:dyDescent="0.2"/>
    <row r="921" s="29" customFormat="1" ht="12.75" customHeight="1" x14ac:dyDescent="0.2"/>
    <row r="922" s="29" customFormat="1" ht="12.75" customHeight="1" x14ac:dyDescent="0.2"/>
    <row r="923" s="29" customFormat="1" ht="12.75" customHeight="1" x14ac:dyDescent="0.2"/>
    <row r="924" s="29" customFormat="1" ht="12.75" customHeight="1" x14ac:dyDescent="0.2"/>
    <row r="925" s="29" customFormat="1" ht="12.75" customHeight="1" x14ac:dyDescent="0.2"/>
    <row r="926" s="29" customFormat="1" ht="12.75" customHeight="1" x14ac:dyDescent="0.2"/>
    <row r="927" s="29" customFormat="1" ht="12.75" customHeight="1" x14ac:dyDescent="0.2"/>
    <row r="928" s="29" customFormat="1" ht="12.75" customHeight="1" x14ac:dyDescent="0.2"/>
    <row r="929" s="29" customFormat="1" ht="12.75" customHeight="1" x14ac:dyDescent="0.2"/>
    <row r="930" s="29" customFormat="1" ht="12.75" customHeight="1" x14ac:dyDescent="0.2"/>
    <row r="931" s="29" customFormat="1" ht="12.75" customHeight="1" x14ac:dyDescent="0.2"/>
    <row r="932" s="29" customFormat="1" ht="12.75" customHeight="1" x14ac:dyDescent="0.2"/>
    <row r="933" s="29" customFormat="1" ht="12.75" customHeight="1" x14ac:dyDescent="0.2"/>
    <row r="934" s="29" customFormat="1" ht="12.75" customHeight="1" x14ac:dyDescent="0.2"/>
    <row r="935" s="29" customFormat="1" ht="12.75" customHeight="1" x14ac:dyDescent="0.2"/>
    <row r="936" s="29" customFormat="1" ht="12.75" customHeight="1" x14ac:dyDescent="0.2"/>
    <row r="937" s="29" customFormat="1" ht="12.75" customHeight="1" x14ac:dyDescent="0.2"/>
    <row r="938" s="29" customFormat="1" ht="12.75" customHeight="1" x14ac:dyDescent="0.2"/>
    <row r="939" s="29" customFormat="1" ht="12.75" customHeight="1" x14ac:dyDescent="0.2"/>
    <row r="940" s="29" customFormat="1" ht="12.75" customHeight="1" x14ac:dyDescent="0.2"/>
    <row r="941" s="29" customFormat="1" ht="12.75" customHeight="1" x14ac:dyDescent="0.2"/>
    <row r="942" s="29" customFormat="1" ht="12.75" customHeight="1" x14ac:dyDescent="0.2"/>
    <row r="943" s="29" customFormat="1" ht="12.75" customHeight="1" x14ac:dyDescent="0.2"/>
    <row r="944" s="29" customFormat="1" ht="12.75" customHeight="1" x14ac:dyDescent="0.2"/>
    <row r="945" s="29" customFormat="1" ht="12.75" customHeight="1" x14ac:dyDescent="0.2"/>
    <row r="946" s="29" customFormat="1" ht="12.75" customHeight="1" x14ac:dyDescent="0.2"/>
    <row r="947" s="29" customFormat="1" ht="12.75" customHeight="1" x14ac:dyDescent="0.2"/>
    <row r="948" s="29" customFormat="1" ht="12.75" customHeight="1" x14ac:dyDescent="0.2"/>
    <row r="949" s="29" customFormat="1" ht="12.75" customHeight="1" x14ac:dyDescent="0.2"/>
    <row r="950" s="29" customFormat="1" ht="12.75" customHeight="1" x14ac:dyDescent="0.2"/>
    <row r="951" s="29" customFormat="1" ht="12.75" customHeight="1" x14ac:dyDescent="0.2"/>
    <row r="952" s="29" customFormat="1" ht="12.75" customHeight="1" x14ac:dyDescent="0.2"/>
    <row r="953" s="29" customFormat="1" ht="12.75" customHeight="1" x14ac:dyDescent="0.2"/>
    <row r="954" s="29" customFormat="1" ht="12.75" customHeight="1" x14ac:dyDescent="0.2"/>
    <row r="955" s="29" customFormat="1" ht="12.75" customHeight="1" x14ac:dyDescent="0.2"/>
    <row r="956" s="29" customFormat="1" ht="12.75" customHeight="1" x14ac:dyDescent="0.2"/>
    <row r="957" s="29" customFormat="1" ht="12.75" customHeight="1" x14ac:dyDescent="0.2"/>
    <row r="958" s="29" customFormat="1" ht="12.75" customHeight="1" x14ac:dyDescent="0.2"/>
    <row r="959" s="29" customFormat="1" ht="12.75" customHeight="1" x14ac:dyDescent="0.2"/>
    <row r="960" s="29" customFormat="1" ht="12.75" customHeight="1" x14ac:dyDescent="0.2"/>
    <row r="961" s="29" customFormat="1" ht="12.75" customHeight="1" x14ac:dyDescent="0.2"/>
    <row r="962" s="29" customFormat="1" ht="12.75" customHeight="1" x14ac:dyDescent="0.2"/>
    <row r="963" s="29" customFormat="1" ht="12.75" customHeight="1" x14ac:dyDescent="0.2"/>
    <row r="964" s="29" customFormat="1" ht="12.75" customHeight="1" x14ac:dyDescent="0.2"/>
    <row r="965" s="29" customFormat="1" ht="12.75" customHeight="1" x14ac:dyDescent="0.2"/>
    <row r="966" s="29" customFormat="1" ht="12.75" customHeight="1" x14ac:dyDescent="0.2"/>
    <row r="967" s="29" customFormat="1" ht="12.75" customHeight="1" x14ac:dyDescent="0.2"/>
    <row r="968" s="29" customFormat="1" ht="12.75" customHeight="1" x14ac:dyDescent="0.2"/>
    <row r="969" s="29" customFormat="1" ht="12.75" customHeight="1" x14ac:dyDescent="0.2"/>
    <row r="970" s="29" customFormat="1" ht="12.75" customHeight="1" x14ac:dyDescent="0.2"/>
    <row r="971" s="29" customFormat="1" ht="12.75" customHeight="1" x14ac:dyDescent="0.2"/>
    <row r="972" s="29" customFormat="1" ht="12.75" customHeight="1" x14ac:dyDescent="0.2"/>
    <row r="973" s="29" customFormat="1" ht="12.75" customHeight="1" x14ac:dyDescent="0.2"/>
    <row r="974" s="29" customFormat="1" ht="12.75" customHeight="1" x14ac:dyDescent="0.2"/>
    <row r="975" s="29" customFormat="1" ht="12.75" customHeight="1" x14ac:dyDescent="0.2"/>
    <row r="976" s="29" customFormat="1" ht="12.75" customHeight="1" x14ac:dyDescent="0.2"/>
    <row r="977" s="29" customFormat="1" ht="12.75" customHeight="1" x14ac:dyDescent="0.2"/>
    <row r="978" s="29" customFormat="1" ht="12.75" customHeight="1" x14ac:dyDescent="0.2"/>
    <row r="979" s="29" customFormat="1" ht="12.75" customHeight="1" x14ac:dyDescent="0.2"/>
    <row r="980" s="29" customFormat="1" ht="12.75" customHeight="1" x14ac:dyDescent="0.2"/>
    <row r="981" s="29" customFormat="1" ht="12.75" customHeight="1" x14ac:dyDescent="0.2"/>
    <row r="982" s="29" customFormat="1" ht="12.75" customHeight="1" x14ac:dyDescent="0.2"/>
    <row r="983" s="29" customFormat="1" ht="12.75" customHeight="1" x14ac:dyDescent="0.2"/>
    <row r="984" s="29" customFormat="1" ht="12.75" customHeight="1" x14ac:dyDescent="0.2"/>
    <row r="985" s="29" customFormat="1" ht="12.75" customHeight="1" x14ac:dyDescent="0.2"/>
    <row r="986" s="29" customFormat="1" ht="12.75" customHeight="1" x14ac:dyDescent="0.2"/>
    <row r="987" s="29" customFormat="1" ht="12.75" customHeight="1" x14ac:dyDescent="0.2"/>
    <row r="988" s="29" customFormat="1" ht="12.75" customHeight="1" x14ac:dyDescent="0.2"/>
    <row r="989" s="29" customFormat="1" ht="12.75" customHeight="1" x14ac:dyDescent="0.2"/>
    <row r="990" s="29" customFormat="1" ht="12.75" customHeight="1" x14ac:dyDescent="0.2"/>
    <row r="991" s="29" customFormat="1" ht="12.75" customHeight="1" x14ac:dyDescent="0.2"/>
    <row r="992" s="29" customFormat="1" ht="12.75" customHeight="1" x14ac:dyDescent="0.2"/>
    <row r="993" s="29" customFormat="1" ht="12.75" customHeight="1" x14ac:dyDescent="0.2"/>
    <row r="994" s="29" customFormat="1" ht="12.75" customHeight="1" x14ac:dyDescent="0.2"/>
    <row r="995" s="29" customFormat="1" ht="12.75" customHeight="1" x14ac:dyDescent="0.2"/>
    <row r="996" s="29" customFormat="1" ht="12.75" customHeight="1" x14ac:dyDescent="0.2"/>
    <row r="997" s="29" customFormat="1" ht="12.75" customHeight="1" x14ac:dyDescent="0.2"/>
    <row r="998" s="29" customFormat="1" ht="12.75" customHeight="1" x14ac:dyDescent="0.2"/>
    <row r="999" s="29" customFormat="1" ht="12.75" customHeight="1" x14ac:dyDescent="0.2"/>
    <row r="1000" s="29" customFormat="1" ht="12.75" customHeight="1" x14ac:dyDescent="0.2"/>
    <row r="1001" s="29" customFormat="1" ht="12.75" customHeight="1" x14ac:dyDescent="0.2"/>
    <row r="1002" s="29" customFormat="1" ht="12.75" customHeight="1" x14ac:dyDescent="0.2"/>
    <row r="1003" s="29" customFormat="1" ht="12.75" customHeight="1" x14ac:dyDescent="0.2"/>
    <row r="1004" s="29" customFormat="1" ht="12.75" customHeight="1" x14ac:dyDescent="0.2"/>
    <row r="1005" s="29" customFormat="1" ht="12.75" customHeight="1" x14ac:dyDescent="0.2"/>
    <row r="1006" s="29" customFormat="1" ht="12.75" customHeight="1" x14ac:dyDescent="0.2"/>
    <row r="1007" s="29" customFormat="1" ht="12.75" customHeight="1" x14ac:dyDescent="0.2"/>
    <row r="1008" s="29" customFormat="1" ht="12.75" customHeight="1" x14ac:dyDescent="0.2"/>
    <row r="1009" s="29" customFormat="1" ht="12.75" customHeight="1" x14ac:dyDescent="0.2"/>
    <row r="1010" s="29" customFormat="1" ht="12.75" customHeight="1" x14ac:dyDescent="0.2"/>
    <row r="1011" s="29" customFormat="1" ht="12.75" customHeight="1" x14ac:dyDescent="0.2"/>
    <row r="1012" s="29" customFormat="1" ht="12.75" customHeight="1" x14ac:dyDescent="0.2"/>
    <row r="1013" s="29" customFormat="1" ht="12.75" customHeight="1" x14ac:dyDescent="0.2"/>
    <row r="1014" s="29" customFormat="1" ht="12.75" customHeight="1" x14ac:dyDescent="0.2"/>
    <row r="1015" s="29" customFormat="1" ht="12.75" customHeight="1" x14ac:dyDescent="0.2"/>
    <row r="1016" s="29" customFormat="1" ht="12.75" customHeight="1" x14ac:dyDescent="0.2"/>
  </sheetData>
  <sheetProtection algorithmName="SHA-512" hashValue="rchS1q8sxYrhQYl35kNqi77sqjJP/3+Lzc4YltJD9dZSAxp5Xg32aadTBWnNkXZzDZGR/IeI/Wl3JN2GRIpjOg==" saltValue="uPi7kKlTWQxvdRjanmfY9g==" spinCount="100000" sheet="1" objects="1" scenarios="1"/>
  <mergeCells count="2">
    <mergeCell ref="D35:O47"/>
    <mergeCell ref="D49:O53"/>
  </mergeCells>
  <dataValidations count="1">
    <dataValidation type="list" allowBlank="1" showErrorMessage="1" sqref="D26:O26" xr:uid="{C330989C-3061-4835-AC1E-EAC912F0267C}">
      <formula1>"SI,NO"</formula1>
      <formula2>0</formula2>
    </dataValidation>
  </dataValidations>
  <pageMargins left="0.31496062992125984" right="0.11811023622047245" top="0.74803149606299213" bottom="0.74803149606299213" header="0.51181102362204722" footer="0.51181102362204722"/>
  <pageSetup orientation="landscape" horizontalDpi="300" verticalDpi="300" r:id="rId1"/>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BO1249"/>
  <sheetViews>
    <sheetView showGridLines="0" showRowColHeaders="0" tabSelected="1" topLeftCell="A7" zoomScaleNormal="100" zoomScaleSheetLayoutView="100" workbookViewId="0">
      <selection activeCell="D7" sqref="D7"/>
    </sheetView>
  </sheetViews>
  <sheetFormatPr baseColWidth="10" defaultColWidth="14.5703125" defaultRowHeight="12.75" x14ac:dyDescent="0.2"/>
  <cols>
    <col min="1" max="1" width="66" style="110" customWidth="1"/>
    <col min="2" max="2" width="5.28515625" style="114" hidden="1" customWidth="1"/>
    <col min="3" max="3" width="5.5703125" style="114" hidden="1" customWidth="1"/>
    <col min="4" max="4" width="33.7109375" style="110" customWidth="1"/>
    <col min="5" max="15" width="14.140625" style="110" hidden="1" customWidth="1"/>
    <col min="16" max="17" width="21" style="110" hidden="1" customWidth="1"/>
    <col min="18" max="18" width="23.140625" style="110" hidden="1" customWidth="1"/>
    <col min="19" max="19" width="15.5703125" style="110" hidden="1" customWidth="1"/>
    <col min="20" max="20" width="14.7109375" style="110" hidden="1" customWidth="1"/>
    <col min="21" max="21" width="38.7109375" style="85" hidden="1" customWidth="1"/>
    <col min="22" max="22" width="10.7109375" style="85" hidden="1" customWidth="1"/>
    <col min="23" max="28" width="10.7109375" style="110" hidden="1" customWidth="1"/>
    <col min="29" max="66" width="0" style="110" hidden="1" customWidth="1"/>
    <col min="67" max="16384" width="14.5703125" style="110"/>
  </cols>
  <sheetData>
    <row r="1" spans="1:67" ht="15.75" hidden="1" customHeight="1" x14ac:dyDescent="0.2">
      <c r="A1" s="244"/>
      <c r="B1" s="245"/>
      <c r="C1" s="246"/>
      <c r="D1" s="244"/>
      <c r="F1" s="247" t="s">
        <v>110</v>
      </c>
      <c r="L1" s="93" t="s">
        <v>19</v>
      </c>
      <c r="M1" s="94">
        <f>+Parametros!B2</f>
        <v>2024</v>
      </c>
      <c r="N1" s="95" t="s">
        <v>20</v>
      </c>
      <c r="O1" s="96" t="str">
        <f>+Parametros!B11</f>
        <v>NO</v>
      </c>
    </row>
    <row r="2" spans="1:67" ht="14.25" hidden="1" customHeight="1" x14ac:dyDescent="0.2">
      <c r="A2" s="63" t="s">
        <v>109</v>
      </c>
      <c r="B2" s="63"/>
      <c r="D2" s="248" t="s">
        <v>377</v>
      </c>
      <c r="E2" s="248" t="s">
        <v>377</v>
      </c>
      <c r="F2" s="248" t="s">
        <v>377</v>
      </c>
      <c r="G2" s="248" t="s">
        <v>377</v>
      </c>
      <c r="H2" s="248" t="s">
        <v>377</v>
      </c>
      <c r="I2" s="248" t="s">
        <v>377</v>
      </c>
      <c r="J2" s="248" t="s">
        <v>377</v>
      </c>
      <c r="K2" s="248" t="s">
        <v>377</v>
      </c>
      <c r="L2" s="248" t="s">
        <v>377</v>
      </c>
      <c r="M2" s="248" t="s">
        <v>377</v>
      </c>
      <c r="N2" s="248" t="s">
        <v>377</v>
      </c>
      <c r="O2" s="248" t="s">
        <v>377</v>
      </c>
      <c r="P2" s="249"/>
      <c r="Q2" s="249"/>
    </row>
    <row r="3" spans="1:67" ht="14.25" hidden="1" customHeight="1" thickBot="1" x14ac:dyDescent="0.25">
      <c r="A3" s="63"/>
      <c r="B3" s="63"/>
      <c r="D3" s="250"/>
      <c r="E3" s="250"/>
      <c r="F3" s="250"/>
      <c r="G3" s="250"/>
      <c r="H3" s="250"/>
      <c r="I3" s="250"/>
      <c r="J3" s="250"/>
      <c r="K3" s="250"/>
      <c r="L3" s="250"/>
      <c r="M3" s="250"/>
      <c r="N3" s="250"/>
      <c r="O3" s="250"/>
      <c r="P3" s="251" t="s">
        <v>380</v>
      </c>
      <c r="Q3" s="249"/>
    </row>
    <row r="4" spans="1:67" ht="27.6" hidden="1" customHeight="1" thickBot="1" x14ac:dyDescent="0.25">
      <c r="A4" s="64" t="s">
        <v>111</v>
      </c>
      <c r="B4" s="65" t="s">
        <v>323</v>
      </c>
      <c r="C4" s="65" t="s">
        <v>235</v>
      </c>
      <c r="D4" s="66">
        <v>44197</v>
      </c>
      <c r="E4" s="67">
        <v>44228</v>
      </c>
      <c r="F4" s="67">
        <v>44256</v>
      </c>
      <c r="G4" s="67">
        <v>44287</v>
      </c>
      <c r="H4" s="67">
        <v>44317</v>
      </c>
      <c r="I4" s="67">
        <v>44348</v>
      </c>
      <c r="J4" s="67">
        <v>44378</v>
      </c>
      <c r="K4" s="67">
        <v>44409</v>
      </c>
      <c r="L4" s="67">
        <v>44440</v>
      </c>
      <c r="M4" s="67">
        <v>44470</v>
      </c>
      <c r="N4" s="67">
        <v>44501</v>
      </c>
      <c r="O4" s="68">
        <v>44531</v>
      </c>
      <c r="P4" s="69" t="s">
        <v>136</v>
      </c>
      <c r="Q4" s="70" t="s">
        <v>137</v>
      </c>
    </row>
    <row r="5" spans="1:67" ht="22.15" hidden="1" customHeight="1" x14ac:dyDescent="0.2">
      <c r="A5" s="252" t="s">
        <v>138</v>
      </c>
      <c r="B5" s="253"/>
      <c r="C5" s="253"/>
      <c r="D5" s="253"/>
      <c r="E5" s="253"/>
      <c r="F5" s="253"/>
      <c r="G5" s="253"/>
      <c r="H5" s="253"/>
      <c r="I5" s="253"/>
      <c r="J5" s="253"/>
      <c r="K5" s="253"/>
      <c r="L5" s="253"/>
      <c r="M5" s="253"/>
      <c r="N5" s="253"/>
      <c r="O5" s="253"/>
      <c r="P5" s="254"/>
      <c r="Q5" s="254"/>
      <c r="R5" s="255"/>
    </row>
    <row r="6" spans="1:67" ht="22.15" hidden="1" customHeight="1" x14ac:dyDescent="0.2">
      <c r="A6" s="256" t="s">
        <v>139</v>
      </c>
      <c r="B6" s="257"/>
      <c r="C6" s="257"/>
      <c r="D6" s="257"/>
      <c r="E6" s="257"/>
      <c r="F6" s="257"/>
      <c r="G6" s="257"/>
      <c r="H6" s="257"/>
      <c r="I6" s="257"/>
      <c r="J6" s="257"/>
      <c r="K6" s="257"/>
      <c r="L6" s="257"/>
      <c r="M6" s="257"/>
      <c r="N6" s="257"/>
      <c r="O6" s="257"/>
      <c r="P6" s="254"/>
      <c r="Q6" s="254"/>
      <c r="R6" s="255"/>
    </row>
    <row r="7" spans="1:67" ht="18.600000000000001" customHeight="1" x14ac:dyDescent="0.2">
      <c r="A7" s="661" t="s">
        <v>450</v>
      </c>
      <c r="B7" s="662" t="s">
        <v>324</v>
      </c>
      <c r="C7" s="663" t="s">
        <v>233</v>
      </c>
      <c r="D7" s="664">
        <v>2200000</v>
      </c>
      <c r="E7" s="261">
        <f>+$D$7</f>
        <v>2200000</v>
      </c>
      <c r="F7" s="261">
        <f t="shared" ref="F7:O7" si="0">+$D$7</f>
        <v>2200000</v>
      </c>
      <c r="G7" s="261">
        <f t="shared" si="0"/>
        <v>2200000</v>
      </c>
      <c r="H7" s="261">
        <f t="shared" si="0"/>
        <v>2200000</v>
      </c>
      <c r="I7" s="261">
        <f t="shared" si="0"/>
        <v>2200000</v>
      </c>
      <c r="J7" s="261">
        <f t="shared" si="0"/>
        <v>2200000</v>
      </c>
      <c r="K7" s="261">
        <f t="shared" si="0"/>
        <v>2200000</v>
      </c>
      <c r="L7" s="261">
        <f t="shared" si="0"/>
        <v>2200000</v>
      </c>
      <c r="M7" s="261">
        <f t="shared" si="0"/>
        <v>2200000</v>
      </c>
      <c r="N7" s="261">
        <f t="shared" si="0"/>
        <v>2200000</v>
      </c>
      <c r="O7" s="261">
        <f t="shared" si="0"/>
        <v>2200000</v>
      </c>
      <c r="P7" s="262">
        <f>SUM(D7:O7)</f>
        <v>26400000</v>
      </c>
      <c r="Q7" s="263"/>
      <c r="R7" s="255"/>
      <c r="BO7" s="778" t="s">
        <v>456</v>
      </c>
    </row>
    <row r="8" spans="1:67" ht="12.75" hidden="1" customHeight="1" x14ac:dyDescent="0.2">
      <c r="A8" s="661" t="s">
        <v>213</v>
      </c>
      <c r="B8" s="662" t="s">
        <v>324</v>
      </c>
      <c r="C8" s="663" t="s">
        <v>234</v>
      </c>
      <c r="D8" s="665"/>
      <c r="E8" s="261"/>
      <c r="F8" s="261"/>
      <c r="G8" s="261"/>
      <c r="H8" s="261"/>
      <c r="I8" s="261"/>
      <c r="J8" s="261"/>
      <c r="K8" s="261"/>
      <c r="L8" s="261"/>
      <c r="M8" s="261"/>
      <c r="N8" s="261"/>
      <c r="O8" s="261"/>
      <c r="P8" s="262">
        <f>SUM(D8:O8)</f>
        <v>0</v>
      </c>
      <c r="Q8" s="263"/>
      <c r="R8" s="255"/>
    </row>
    <row r="9" spans="1:67" ht="12.75" hidden="1" customHeight="1" x14ac:dyDescent="0.2">
      <c r="A9" s="661" t="s">
        <v>208</v>
      </c>
      <c r="B9" s="662" t="s">
        <v>325</v>
      </c>
      <c r="C9" s="663" t="s">
        <v>233</v>
      </c>
      <c r="D9" s="665"/>
      <c r="E9" s="261"/>
      <c r="F9" s="261"/>
      <c r="G9" s="261"/>
      <c r="H9" s="261"/>
      <c r="I9" s="261"/>
      <c r="J9" s="261"/>
      <c r="K9" s="261"/>
      <c r="L9" s="261"/>
      <c r="M9" s="261"/>
      <c r="N9" s="261"/>
      <c r="O9" s="261"/>
      <c r="P9" s="262">
        <f t="shared" ref="P9:P18" si="1">SUM(D9:O9)</f>
        <v>0</v>
      </c>
      <c r="Q9" s="263"/>
      <c r="R9" s="255"/>
    </row>
    <row r="10" spans="1:67" ht="12.75" hidden="1" customHeight="1" x14ac:dyDescent="0.2">
      <c r="A10" s="661" t="s">
        <v>214</v>
      </c>
      <c r="B10" s="662" t="s">
        <v>325</v>
      </c>
      <c r="C10" s="663" t="s">
        <v>234</v>
      </c>
      <c r="D10" s="665"/>
      <c r="E10" s="261"/>
      <c r="F10" s="261"/>
      <c r="G10" s="261"/>
      <c r="H10" s="261"/>
      <c r="I10" s="261"/>
      <c r="J10" s="261"/>
      <c r="K10" s="261"/>
      <c r="L10" s="261"/>
      <c r="M10" s="261"/>
      <c r="N10" s="261"/>
      <c r="O10" s="261"/>
      <c r="P10" s="262">
        <f t="shared" si="1"/>
        <v>0</v>
      </c>
      <c r="Q10" s="263"/>
      <c r="R10" s="255"/>
    </row>
    <row r="11" spans="1:67" ht="12.75" hidden="1" customHeight="1" x14ac:dyDescent="0.2">
      <c r="A11" s="661" t="s">
        <v>422</v>
      </c>
      <c r="B11" s="662" t="s">
        <v>324</v>
      </c>
      <c r="C11" s="663" t="s">
        <v>233</v>
      </c>
      <c r="D11" s="665"/>
      <c r="E11" s="261"/>
      <c r="F11" s="261"/>
      <c r="G11" s="261"/>
      <c r="H11" s="261"/>
      <c r="I11" s="261"/>
      <c r="J11" s="261"/>
      <c r="K11" s="261"/>
      <c r="L11" s="261"/>
      <c r="M11" s="261"/>
      <c r="N11" s="261"/>
      <c r="O11" s="261"/>
      <c r="P11" s="262">
        <f t="shared" si="1"/>
        <v>0</v>
      </c>
      <c r="Q11" s="263"/>
      <c r="R11" s="255"/>
    </row>
    <row r="12" spans="1:67" ht="12.75" hidden="1" customHeight="1" x14ac:dyDescent="0.2">
      <c r="A12" s="661" t="s">
        <v>423</v>
      </c>
      <c r="B12" s="662" t="s">
        <v>324</v>
      </c>
      <c r="C12" s="666" t="s">
        <v>233</v>
      </c>
      <c r="D12" s="665"/>
      <c r="E12" s="261"/>
      <c r="F12" s="261"/>
      <c r="G12" s="261"/>
      <c r="H12" s="261"/>
      <c r="I12" s="261"/>
      <c r="J12" s="261"/>
      <c r="K12" s="261"/>
      <c r="L12" s="261"/>
      <c r="M12" s="261"/>
      <c r="N12" s="261"/>
      <c r="O12" s="261"/>
      <c r="P12" s="262">
        <f t="shared" si="1"/>
        <v>0</v>
      </c>
      <c r="Q12" s="263"/>
      <c r="R12" s="255"/>
    </row>
    <row r="13" spans="1:67" ht="12.75" hidden="1" customHeight="1" x14ac:dyDescent="0.2">
      <c r="A13" s="661" t="s">
        <v>424</v>
      </c>
      <c r="B13" s="662" t="s">
        <v>324</v>
      </c>
      <c r="C13" s="666" t="s">
        <v>233</v>
      </c>
      <c r="D13" s="665"/>
      <c r="E13" s="261"/>
      <c r="F13" s="261"/>
      <c r="G13" s="261"/>
      <c r="H13" s="261"/>
      <c r="I13" s="261"/>
      <c r="J13" s="261"/>
      <c r="K13" s="261"/>
      <c r="L13" s="261"/>
      <c r="M13" s="261"/>
      <c r="N13" s="261"/>
      <c r="O13" s="261"/>
      <c r="P13" s="262"/>
      <c r="Q13" s="263"/>
      <c r="R13" s="255"/>
    </row>
    <row r="14" spans="1:67" ht="12.75" hidden="1" customHeight="1" x14ac:dyDescent="0.2">
      <c r="A14" s="661" t="s">
        <v>425</v>
      </c>
      <c r="B14" s="662" t="s">
        <v>324</v>
      </c>
      <c r="C14" s="666" t="s">
        <v>233</v>
      </c>
      <c r="D14" s="665"/>
      <c r="E14" s="261"/>
      <c r="F14" s="261"/>
      <c r="G14" s="261"/>
      <c r="H14" s="261"/>
      <c r="I14" s="261"/>
      <c r="J14" s="261"/>
      <c r="K14" s="261"/>
      <c r="L14" s="261"/>
      <c r="M14" s="261"/>
      <c r="N14" s="261"/>
      <c r="O14" s="261"/>
      <c r="P14" s="262"/>
      <c r="Q14" s="263"/>
      <c r="R14" s="255"/>
    </row>
    <row r="15" spans="1:67" ht="12.75" hidden="1" customHeight="1" x14ac:dyDescent="0.2">
      <c r="A15" s="661" t="s">
        <v>426</v>
      </c>
      <c r="B15" s="662" t="s">
        <v>324</v>
      </c>
      <c r="C15" s="666" t="s">
        <v>233</v>
      </c>
      <c r="D15" s="665"/>
      <c r="E15" s="261"/>
      <c r="F15" s="261"/>
      <c r="G15" s="261"/>
      <c r="H15" s="261"/>
      <c r="I15" s="261"/>
      <c r="J15" s="261"/>
      <c r="K15" s="261"/>
      <c r="L15" s="261"/>
      <c r="M15" s="261"/>
      <c r="N15" s="261"/>
      <c r="O15" s="261"/>
      <c r="P15" s="262">
        <f t="shared" si="1"/>
        <v>0</v>
      </c>
      <c r="Q15" s="263"/>
      <c r="R15" s="255"/>
    </row>
    <row r="16" spans="1:67" ht="12.75" hidden="1" customHeight="1" x14ac:dyDescent="0.2">
      <c r="A16" s="661" t="s">
        <v>427</v>
      </c>
      <c r="B16" s="666" t="s">
        <v>325</v>
      </c>
      <c r="C16" s="666" t="s">
        <v>233</v>
      </c>
      <c r="D16" s="665"/>
      <c r="E16" s="261"/>
      <c r="F16" s="261"/>
      <c r="G16" s="261"/>
      <c r="H16" s="261"/>
      <c r="I16" s="261"/>
      <c r="J16" s="261"/>
      <c r="K16" s="261"/>
      <c r="L16" s="261"/>
      <c r="M16" s="261"/>
      <c r="N16" s="261"/>
      <c r="O16" s="261"/>
      <c r="P16" s="262">
        <f t="shared" si="1"/>
        <v>0</v>
      </c>
      <c r="Q16" s="263"/>
      <c r="R16" s="255"/>
    </row>
    <row r="17" spans="1:22" ht="12.75" hidden="1" customHeight="1" x14ac:dyDescent="0.2">
      <c r="A17" s="661" t="s">
        <v>428</v>
      </c>
      <c r="B17" s="666" t="s">
        <v>324</v>
      </c>
      <c r="C17" s="666" t="s">
        <v>233</v>
      </c>
      <c r="D17" s="665"/>
      <c r="E17" s="261"/>
      <c r="F17" s="261"/>
      <c r="G17" s="261"/>
      <c r="H17" s="261"/>
      <c r="I17" s="261"/>
      <c r="J17" s="261"/>
      <c r="K17" s="261"/>
      <c r="L17" s="261"/>
      <c r="M17" s="261"/>
      <c r="N17" s="261"/>
      <c r="O17" s="261"/>
      <c r="P17" s="262">
        <f t="shared" si="1"/>
        <v>0</v>
      </c>
      <c r="Q17" s="263"/>
      <c r="R17" s="255"/>
    </row>
    <row r="18" spans="1:22" ht="12.75" hidden="1" customHeight="1" x14ac:dyDescent="0.2">
      <c r="A18" s="661" t="s">
        <v>429</v>
      </c>
      <c r="B18" s="666" t="s">
        <v>324</v>
      </c>
      <c r="C18" s="666" t="s">
        <v>233</v>
      </c>
      <c r="D18" s="665"/>
      <c r="E18" s="261"/>
      <c r="F18" s="261"/>
      <c r="G18" s="261"/>
      <c r="H18" s="261"/>
      <c r="I18" s="261"/>
      <c r="J18" s="261"/>
      <c r="K18" s="261"/>
      <c r="L18" s="261"/>
      <c r="M18" s="261"/>
      <c r="N18" s="261"/>
      <c r="O18" s="261"/>
      <c r="P18" s="262">
        <f t="shared" si="1"/>
        <v>0</v>
      </c>
      <c r="Q18" s="263"/>
      <c r="R18" s="255"/>
    </row>
    <row r="19" spans="1:22" ht="12.75" hidden="1" customHeight="1" x14ac:dyDescent="0.2">
      <c r="A19" s="667" t="s">
        <v>209</v>
      </c>
      <c r="B19" s="662" t="s">
        <v>324</v>
      </c>
      <c r="C19" s="663" t="s">
        <v>233</v>
      </c>
      <c r="D19" s="665"/>
      <c r="E19" s="261"/>
      <c r="F19" s="261"/>
      <c r="G19" s="261"/>
      <c r="H19" s="261"/>
      <c r="I19" s="261"/>
      <c r="J19" s="261"/>
      <c r="K19" s="261"/>
      <c r="L19" s="261"/>
      <c r="M19" s="261"/>
      <c r="N19" s="261"/>
      <c r="O19" s="261"/>
      <c r="P19" s="262"/>
      <c r="Q19" s="263">
        <f>SUM(D19:O19)</f>
        <v>0</v>
      </c>
      <c r="R19" s="255"/>
    </row>
    <row r="20" spans="1:22" ht="12.75" hidden="1" customHeight="1" x14ac:dyDescent="0.2">
      <c r="A20" s="667" t="s">
        <v>217</v>
      </c>
      <c r="B20" s="662" t="s">
        <v>324</v>
      </c>
      <c r="C20" s="663" t="s">
        <v>234</v>
      </c>
      <c r="D20" s="665"/>
      <c r="E20" s="261"/>
      <c r="F20" s="261"/>
      <c r="G20" s="261"/>
      <c r="H20" s="261"/>
      <c r="I20" s="261"/>
      <c r="J20" s="261"/>
      <c r="K20" s="261"/>
      <c r="L20" s="261"/>
      <c r="M20" s="261"/>
      <c r="N20" s="261"/>
      <c r="O20" s="261"/>
      <c r="P20" s="262"/>
      <c r="Q20" s="263">
        <f t="shared" ref="Q20:Q22" si="2">SUM(D20:O20)</f>
        <v>0</v>
      </c>
      <c r="R20" s="255"/>
    </row>
    <row r="21" spans="1:22" ht="12.75" hidden="1" customHeight="1" x14ac:dyDescent="0.2">
      <c r="A21" s="667" t="s">
        <v>210</v>
      </c>
      <c r="B21" s="662" t="s">
        <v>325</v>
      </c>
      <c r="C21" s="663" t="s">
        <v>233</v>
      </c>
      <c r="D21" s="665"/>
      <c r="E21" s="261"/>
      <c r="F21" s="261"/>
      <c r="G21" s="261"/>
      <c r="H21" s="261"/>
      <c r="I21" s="261"/>
      <c r="J21" s="261"/>
      <c r="K21" s="261"/>
      <c r="L21" s="261"/>
      <c r="M21" s="261"/>
      <c r="N21" s="261"/>
      <c r="O21" s="261"/>
      <c r="P21" s="262"/>
      <c r="Q21" s="263">
        <f t="shared" si="2"/>
        <v>0</v>
      </c>
      <c r="R21" s="255"/>
    </row>
    <row r="22" spans="1:22" ht="12.75" hidden="1" customHeight="1" x14ac:dyDescent="0.2">
      <c r="A22" s="667" t="s">
        <v>218</v>
      </c>
      <c r="B22" s="662" t="s">
        <v>325</v>
      </c>
      <c r="C22" s="663" t="s">
        <v>234</v>
      </c>
      <c r="D22" s="665"/>
      <c r="E22" s="261"/>
      <c r="F22" s="261"/>
      <c r="G22" s="261"/>
      <c r="H22" s="261"/>
      <c r="I22" s="261"/>
      <c r="J22" s="261"/>
      <c r="K22" s="261"/>
      <c r="L22" s="261"/>
      <c r="M22" s="261"/>
      <c r="N22" s="261"/>
      <c r="O22" s="261"/>
      <c r="P22" s="262"/>
      <c r="Q22" s="263">
        <f t="shared" si="2"/>
        <v>0</v>
      </c>
      <c r="R22" s="255"/>
    </row>
    <row r="23" spans="1:22" s="272" customFormat="1" ht="12.75" hidden="1" customHeight="1" x14ac:dyDescent="0.2">
      <c r="A23" s="668" t="s">
        <v>149</v>
      </c>
      <c r="B23" s="669" t="s">
        <v>324</v>
      </c>
      <c r="C23" s="670" t="s">
        <v>233</v>
      </c>
      <c r="D23" s="671"/>
      <c r="E23" s="268"/>
      <c r="F23" s="268"/>
      <c r="G23" s="268"/>
      <c r="H23" s="268"/>
      <c r="I23" s="268"/>
      <c r="J23" s="268"/>
      <c r="K23" s="268"/>
      <c r="L23" s="268"/>
      <c r="M23" s="268"/>
      <c r="N23" s="268"/>
      <c r="O23" s="268"/>
      <c r="P23" s="269"/>
      <c r="Q23" s="270">
        <f t="shared" ref="Q23:Q29" si="3">SUM(D23:O23)</f>
        <v>0</v>
      </c>
      <c r="R23" s="271"/>
      <c r="U23" s="127"/>
      <c r="V23" s="127"/>
    </row>
    <row r="24" spans="1:22" s="272" customFormat="1" ht="12.75" hidden="1" customHeight="1" x14ac:dyDescent="0.2">
      <c r="A24" s="668" t="s">
        <v>315</v>
      </c>
      <c r="B24" s="669" t="s">
        <v>324</v>
      </c>
      <c r="C24" s="672" t="s">
        <v>233</v>
      </c>
      <c r="D24" s="671"/>
      <c r="E24" s="268"/>
      <c r="F24" s="268"/>
      <c r="G24" s="268"/>
      <c r="H24" s="268"/>
      <c r="I24" s="268"/>
      <c r="J24" s="268"/>
      <c r="K24" s="268"/>
      <c r="L24" s="268"/>
      <c r="M24" s="268"/>
      <c r="N24" s="268"/>
      <c r="O24" s="268"/>
      <c r="P24" s="269"/>
      <c r="Q24" s="270">
        <f t="shared" si="3"/>
        <v>0</v>
      </c>
      <c r="R24" s="271"/>
      <c r="U24" s="127"/>
      <c r="V24" s="127"/>
    </row>
    <row r="25" spans="1:22" s="272" customFormat="1" ht="12.75" hidden="1" customHeight="1" x14ac:dyDescent="0.2">
      <c r="A25" s="668" t="s">
        <v>151</v>
      </c>
      <c r="B25" s="669" t="str">
        <f t="shared" ref="B25:C27" si="4">+B16</f>
        <v>NH</v>
      </c>
      <c r="C25" s="670" t="str">
        <f t="shared" si="4"/>
        <v>R</v>
      </c>
      <c r="D25" s="671"/>
      <c r="E25" s="268"/>
      <c r="F25" s="268"/>
      <c r="G25" s="268"/>
      <c r="H25" s="268"/>
      <c r="I25" s="268"/>
      <c r="J25" s="268"/>
      <c r="K25" s="268"/>
      <c r="L25" s="268"/>
      <c r="M25" s="268"/>
      <c r="N25" s="268"/>
      <c r="O25" s="268"/>
      <c r="P25" s="269"/>
      <c r="Q25" s="270">
        <f t="shared" si="3"/>
        <v>0</v>
      </c>
      <c r="R25" s="271"/>
      <c r="U25" s="127"/>
      <c r="V25" s="127"/>
    </row>
    <row r="26" spans="1:22" s="272" customFormat="1" ht="12.75" hidden="1" customHeight="1" x14ac:dyDescent="0.2">
      <c r="A26" s="668" t="s">
        <v>219</v>
      </c>
      <c r="B26" s="669" t="str">
        <f t="shared" si="4"/>
        <v>H</v>
      </c>
      <c r="C26" s="670" t="str">
        <f t="shared" si="4"/>
        <v>R</v>
      </c>
      <c r="D26" s="671"/>
      <c r="E26" s="268"/>
      <c r="F26" s="268"/>
      <c r="G26" s="268"/>
      <c r="H26" s="268"/>
      <c r="I26" s="268"/>
      <c r="J26" s="268"/>
      <c r="K26" s="268"/>
      <c r="L26" s="268"/>
      <c r="M26" s="268"/>
      <c r="N26" s="268"/>
      <c r="O26" s="268"/>
      <c r="P26" s="269"/>
      <c r="Q26" s="270">
        <f t="shared" si="3"/>
        <v>0</v>
      </c>
      <c r="R26" s="271"/>
      <c r="U26" s="127"/>
      <c r="V26" s="127"/>
    </row>
    <row r="27" spans="1:22" s="272" customFormat="1" ht="12.75" hidden="1" customHeight="1" x14ac:dyDescent="0.2">
      <c r="A27" s="668" t="s">
        <v>153</v>
      </c>
      <c r="B27" s="669" t="str">
        <f t="shared" si="4"/>
        <v>H</v>
      </c>
      <c r="C27" s="670" t="str">
        <f t="shared" si="4"/>
        <v>R</v>
      </c>
      <c r="D27" s="671"/>
      <c r="E27" s="268"/>
      <c r="F27" s="268"/>
      <c r="G27" s="268"/>
      <c r="H27" s="268"/>
      <c r="I27" s="268"/>
      <c r="J27" s="268"/>
      <c r="K27" s="268"/>
      <c r="L27" s="268"/>
      <c r="M27" s="268"/>
      <c r="N27" s="268"/>
      <c r="O27" s="268"/>
      <c r="P27" s="269"/>
      <c r="Q27" s="270">
        <f t="shared" si="3"/>
        <v>0</v>
      </c>
      <c r="R27" s="271"/>
      <c r="U27" s="127"/>
      <c r="V27" s="127"/>
    </row>
    <row r="28" spans="1:22" s="272" customFormat="1" ht="12.75" hidden="1" customHeight="1" x14ac:dyDescent="0.2">
      <c r="A28" s="668" t="s">
        <v>154</v>
      </c>
      <c r="B28" s="669" t="s">
        <v>324</v>
      </c>
      <c r="C28" s="672" t="s">
        <v>233</v>
      </c>
      <c r="D28" s="671"/>
      <c r="E28" s="268"/>
      <c r="F28" s="268"/>
      <c r="G28" s="268"/>
      <c r="H28" s="268"/>
      <c r="I28" s="268"/>
      <c r="J28" s="268"/>
      <c r="K28" s="268"/>
      <c r="L28" s="268"/>
      <c r="M28" s="268"/>
      <c r="N28" s="268"/>
      <c r="O28" s="268"/>
      <c r="P28" s="269"/>
      <c r="Q28" s="270">
        <f t="shared" si="3"/>
        <v>0</v>
      </c>
      <c r="R28" s="271"/>
      <c r="U28" s="127"/>
      <c r="V28" s="127"/>
    </row>
    <row r="29" spans="1:22" s="272" customFormat="1" ht="12.75" hidden="1" customHeight="1" x14ac:dyDescent="0.2">
      <c r="A29" s="668" t="s">
        <v>155</v>
      </c>
      <c r="B29" s="669" t="s">
        <v>324</v>
      </c>
      <c r="C29" s="670" t="s">
        <v>234</v>
      </c>
      <c r="D29" s="671"/>
      <c r="E29" s="268"/>
      <c r="F29" s="268"/>
      <c r="G29" s="268"/>
      <c r="H29" s="268"/>
      <c r="I29" s="268"/>
      <c r="J29" s="268"/>
      <c r="K29" s="268"/>
      <c r="L29" s="268"/>
      <c r="M29" s="268"/>
      <c r="N29" s="268"/>
      <c r="O29" s="268"/>
      <c r="P29" s="269"/>
      <c r="Q29" s="270">
        <f t="shared" si="3"/>
        <v>0</v>
      </c>
      <c r="R29" s="271"/>
      <c r="U29" s="127"/>
      <c r="V29" s="127"/>
    </row>
    <row r="30" spans="1:22" ht="12.75" hidden="1" customHeight="1" x14ac:dyDescent="0.2">
      <c r="A30" s="661"/>
      <c r="B30" s="662"/>
      <c r="C30" s="663"/>
      <c r="D30" s="665"/>
      <c r="E30" s="261"/>
      <c r="F30" s="261"/>
      <c r="G30" s="261"/>
      <c r="H30" s="261"/>
      <c r="I30" s="261"/>
      <c r="J30" s="261"/>
      <c r="K30" s="261"/>
      <c r="L30" s="261"/>
      <c r="M30" s="261"/>
      <c r="N30" s="261"/>
      <c r="O30" s="261"/>
      <c r="P30" s="262"/>
      <c r="Q30" s="263"/>
      <c r="R30" s="255"/>
    </row>
    <row r="31" spans="1:22" ht="12.75" hidden="1" customHeight="1" x14ac:dyDescent="0.2">
      <c r="A31" s="661"/>
      <c r="B31" s="662"/>
      <c r="C31" s="663"/>
      <c r="D31" s="665"/>
      <c r="E31" s="261"/>
      <c r="F31" s="261"/>
      <c r="G31" s="261"/>
      <c r="H31" s="261"/>
      <c r="I31" s="261"/>
      <c r="J31" s="261"/>
      <c r="K31" s="261"/>
      <c r="L31" s="261"/>
      <c r="M31" s="261"/>
      <c r="N31" s="261"/>
      <c r="O31" s="261"/>
      <c r="P31" s="262"/>
      <c r="Q31" s="263"/>
      <c r="R31" s="255"/>
    </row>
    <row r="32" spans="1:22" ht="12.75" hidden="1" customHeight="1" x14ac:dyDescent="0.2">
      <c r="A32" s="661" t="s">
        <v>211</v>
      </c>
      <c r="B32" s="666" t="s">
        <v>325</v>
      </c>
      <c r="C32" s="663" t="s">
        <v>233</v>
      </c>
      <c r="D32" s="665"/>
      <c r="E32" s="261"/>
      <c r="F32" s="261"/>
      <c r="G32" s="261"/>
      <c r="H32" s="261"/>
      <c r="I32" s="261"/>
      <c r="J32" s="261"/>
      <c r="K32" s="261"/>
      <c r="L32" s="261"/>
      <c r="M32" s="261"/>
      <c r="N32" s="261"/>
      <c r="O32" s="261"/>
      <c r="P32" s="262">
        <f>SUM(D32:O32)</f>
        <v>0</v>
      </c>
      <c r="Q32" s="263"/>
      <c r="R32" s="255"/>
    </row>
    <row r="33" spans="1:18" ht="12.75" hidden="1" customHeight="1" x14ac:dyDescent="0.2">
      <c r="A33" s="661" t="s">
        <v>220</v>
      </c>
      <c r="B33" s="666" t="s">
        <v>325</v>
      </c>
      <c r="C33" s="663" t="s">
        <v>234</v>
      </c>
      <c r="D33" s="665"/>
      <c r="E33" s="261"/>
      <c r="F33" s="261"/>
      <c r="G33" s="261"/>
      <c r="H33" s="261"/>
      <c r="I33" s="261"/>
      <c r="J33" s="261"/>
      <c r="K33" s="261"/>
      <c r="L33" s="261"/>
      <c r="M33" s="261"/>
      <c r="N33" s="261"/>
      <c r="O33" s="261"/>
      <c r="P33" s="262">
        <f>SUM(D33:O33)</f>
        <v>0</v>
      </c>
      <c r="Q33" s="263"/>
      <c r="R33" s="255"/>
    </row>
    <row r="34" spans="1:18" ht="12.75" hidden="1" customHeight="1" x14ac:dyDescent="0.2">
      <c r="A34" s="667" t="s">
        <v>212</v>
      </c>
      <c r="B34" s="666" t="s">
        <v>325</v>
      </c>
      <c r="C34" s="663" t="s">
        <v>233</v>
      </c>
      <c r="D34" s="665"/>
      <c r="E34" s="261"/>
      <c r="F34" s="261"/>
      <c r="G34" s="261"/>
      <c r="H34" s="261"/>
      <c r="I34" s="261"/>
      <c r="J34" s="261"/>
      <c r="K34" s="261"/>
      <c r="L34" s="261"/>
      <c r="M34" s="261"/>
      <c r="N34" s="261"/>
      <c r="O34" s="261"/>
      <c r="P34" s="262"/>
      <c r="Q34" s="263">
        <f>SUM(D34:O34)</f>
        <v>0</v>
      </c>
      <c r="R34" s="255"/>
    </row>
    <row r="35" spans="1:18" ht="12.75" hidden="1" customHeight="1" x14ac:dyDescent="0.2">
      <c r="A35" s="667" t="s">
        <v>221</v>
      </c>
      <c r="B35" s="666" t="s">
        <v>325</v>
      </c>
      <c r="C35" s="663" t="s">
        <v>234</v>
      </c>
      <c r="D35" s="665"/>
      <c r="E35" s="261"/>
      <c r="F35" s="261"/>
      <c r="G35" s="261"/>
      <c r="H35" s="261"/>
      <c r="I35" s="261"/>
      <c r="J35" s="261"/>
      <c r="K35" s="261"/>
      <c r="L35" s="261"/>
      <c r="M35" s="261"/>
      <c r="N35" s="261"/>
      <c r="O35" s="261"/>
      <c r="P35" s="262"/>
      <c r="Q35" s="263">
        <f>SUM(D35:O35)</f>
        <v>0</v>
      </c>
      <c r="R35" s="255"/>
    </row>
    <row r="36" spans="1:18" ht="12.75" hidden="1" customHeight="1" x14ac:dyDescent="0.2">
      <c r="A36" s="661"/>
      <c r="B36" s="662"/>
      <c r="C36" s="663"/>
      <c r="D36" s="665"/>
      <c r="E36" s="261"/>
      <c r="F36" s="261"/>
      <c r="G36" s="261"/>
      <c r="H36" s="261"/>
      <c r="I36" s="261"/>
      <c r="J36" s="261"/>
      <c r="K36" s="261"/>
      <c r="L36" s="261"/>
      <c r="M36" s="261"/>
      <c r="N36" s="261"/>
      <c r="O36" s="261"/>
      <c r="P36" s="262"/>
      <c r="Q36" s="263"/>
      <c r="R36" s="255"/>
    </row>
    <row r="37" spans="1:18" ht="12.75" hidden="1" customHeight="1" x14ac:dyDescent="0.2">
      <c r="A37" s="661"/>
      <c r="B37" s="662"/>
      <c r="C37" s="663"/>
      <c r="D37" s="665"/>
      <c r="E37" s="261"/>
      <c r="F37" s="261"/>
      <c r="G37" s="261"/>
      <c r="H37" s="261"/>
      <c r="I37" s="261"/>
      <c r="J37" s="261"/>
      <c r="K37" s="261"/>
      <c r="L37" s="261"/>
      <c r="M37" s="261"/>
      <c r="N37" s="261"/>
      <c r="O37" s="261"/>
      <c r="P37" s="262"/>
      <c r="Q37" s="263"/>
      <c r="R37" s="255"/>
    </row>
    <row r="38" spans="1:18" ht="12.75" hidden="1" customHeight="1" x14ac:dyDescent="0.2">
      <c r="A38" s="673" t="s">
        <v>163</v>
      </c>
      <c r="B38" s="662"/>
      <c r="C38" s="662"/>
      <c r="D38" s="674">
        <f t="shared" ref="D38:O38" si="5">SUM(D7:D37)</f>
        <v>2200000</v>
      </c>
      <c r="E38" s="273">
        <f t="shared" si="5"/>
        <v>2200000</v>
      </c>
      <c r="F38" s="273">
        <f t="shared" si="5"/>
        <v>2200000</v>
      </c>
      <c r="G38" s="273">
        <f t="shared" si="5"/>
        <v>2200000</v>
      </c>
      <c r="H38" s="273">
        <f t="shared" si="5"/>
        <v>2200000</v>
      </c>
      <c r="I38" s="273">
        <f t="shared" si="5"/>
        <v>2200000</v>
      </c>
      <c r="J38" s="273">
        <f t="shared" si="5"/>
        <v>2200000</v>
      </c>
      <c r="K38" s="273">
        <f t="shared" si="5"/>
        <v>2200000</v>
      </c>
      <c r="L38" s="273">
        <f t="shared" si="5"/>
        <v>2200000</v>
      </c>
      <c r="M38" s="273">
        <f t="shared" si="5"/>
        <v>2200000</v>
      </c>
      <c r="N38" s="273">
        <f t="shared" si="5"/>
        <v>2200000</v>
      </c>
      <c r="O38" s="273">
        <f t="shared" si="5"/>
        <v>2200000</v>
      </c>
      <c r="P38" s="262"/>
      <c r="Q38" s="263"/>
      <c r="R38" s="255"/>
    </row>
    <row r="39" spans="1:18" ht="12.75" hidden="1" customHeight="1" x14ac:dyDescent="0.2">
      <c r="A39" s="661"/>
      <c r="B39" s="662"/>
      <c r="C39" s="663"/>
      <c r="D39" s="665"/>
      <c r="E39" s="261"/>
      <c r="F39" s="261"/>
      <c r="G39" s="261"/>
      <c r="H39" s="261"/>
      <c r="I39" s="261"/>
      <c r="J39" s="261"/>
      <c r="K39" s="261"/>
      <c r="L39" s="261"/>
      <c r="M39" s="261"/>
      <c r="N39" s="261"/>
      <c r="O39" s="261"/>
      <c r="P39" s="262"/>
      <c r="Q39" s="263"/>
      <c r="R39" s="255"/>
    </row>
    <row r="40" spans="1:18" ht="12.75" hidden="1" customHeight="1" x14ac:dyDescent="0.2">
      <c r="A40" s="675"/>
      <c r="B40" s="676"/>
      <c r="C40" s="677"/>
      <c r="D40" s="678"/>
      <c r="E40" s="274"/>
      <c r="F40" s="274"/>
      <c r="G40" s="274"/>
      <c r="H40" s="274"/>
      <c r="I40" s="274"/>
      <c r="J40" s="274"/>
      <c r="K40" s="274"/>
      <c r="L40" s="274"/>
      <c r="M40" s="274"/>
      <c r="N40" s="274"/>
      <c r="O40" s="274"/>
      <c r="P40" s="275"/>
      <c r="Q40" s="276"/>
      <c r="R40" s="255"/>
    </row>
    <row r="41" spans="1:18" ht="19.149999999999999" hidden="1" customHeight="1" x14ac:dyDescent="0.2">
      <c r="A41" s="679" t="s">
        <v>158</v>
      </c>
      <c r="B41" s="680"/>
      <c r="C41" s="681"/>
      <c r="D41" s="682"/>
      <c r="E41" s="277"/>
      <c r="F41" s="277"/>
      <c r="G41" s="277"/>
      <c r="H41" s="277"/>
      <c r="I41" s="277"/>
      <c r="J41" s="277"/>
      <c r="K41" s="277"/>
      <c r="L41" s="277"/>
      <c r="M41" s="277"/>
      <c r="N41" s="277"/>
      <c r="O41" s="277"/>
      <c r="P41" s="278"/>
      <c r="Q41" s="105"/>
      <c r="R41" s="255"/>
    </row>
    <row r="42" spans="1:18" ht="12.75" hidden="1" customHeight="1" x14ac:dyDescent="0.2">
      <c r="A42" s="661" t="s">
        <v>159</v>
      </c>
      <c r="B42" s="662" t="s">
        <v>324</v>
      </c>
      <c r="C42" s="663"/>
      <c r="D42" s="665"/>
      <c r="E42" s="261"/>
      <c r="F42" s="261"/>
      <c r="G42" s="261"/>
      <c r="H42" s="261"/>
      <c r="I42" s="261"/>
      <c r="J42" s="261"/>
      <c r="K42" s="261"/>
      <c r="L42" s="261"/>
      <c r="M42" s="261"/>
      <c r="N42" s="261"/>
      <c r="O42" s="261"/>
      <c r="P42" s="262">
        <f>SUM(D42:O42)</f>
        <v>0</v>
      </c>
      <c r="Q42" s="263"/>
      <c r="R42" s="255"/>
    </row>
    <row r="43" spans="1:18" ht="12.75" hidden="1" customHeight="1" x14ac:dyDescent="0.2">
      <c r="A43" s="661" t="s">
        <v>141</v>
      </c>
      <c r="B43" s="662" t="s">
        <v>325</v>
      </c>
      <c r="C43" s="663"/>
      <c r="D43" s="665"/>
      <c r="E43" s="261"/>
      <c r="F43" s="261"/>
      <c r="G43" s="261"/>
      <c r="H43" s="261"/>
      <c r="I43" s="261"/>
      <c r="J43" s="261"/>
      <c r="K43" s="261"/>
      <c r="L43" s="261"/>
      <c r="M43" s="261"/>
      <c r="N43" s="261"/>
      <c r="O43" s="261"/>
      <c r="P43" s="262">
        <f t="shared" ref="P43:P48" si="6">SUM(D43:O43)</f>
        <v>0</v>
      </c>
      <c r="Q43" s="263"/>
      <c r="R43" s="255"/>
    </row>
    <row r="44" spans="1:18" ht="12.75" hidden="1" customHeight="1" x14ac:dyDescent="0.2">
      <c r="A44" s="661" t="s">
        <v>436</v>
      </c>
      <c r="B44" s="662" t="s">
        <v>324</v>
      </c>
      <c r="C44" s="663"/>
      <c r="D44" s="665"/>
      <c r="E44" s="261"/>
      <c r="F44" s="261"/>
      <c r="G44" s="261"/>
      <c r="H44" s="261"/>
      <c r="I44" s="261"/>
      <c r="J44" s="261"/>
      <c r="K44" s="261"/>
      <c r="L44" s="261"/>
      <c r="M44" s="261"/>
      <c r="N44" s="261"/>
      <c r="O44" s="261"/>
      <c r="P44" s="262">
        <f t="shared" si="6"/>
        <v>0</v>
      </c>
      <c r="Q44" s="263"/>
      <c r="R44" s="255"/>
    </row>
    <row r="45" spans="1:18" ht="12.75" hidden="1" customHeight="1" x14ac:dyDescent="0.2">
      <c r="A45" s="661" t="s">
        <v>437</v>
      </c>
      <c r="B45" s="662" t="s">
        <v>324</v>
      </c>
      <c r="C45" s="663"/>
      <c r="D45" s="665"/>
      <c r="E45" s="261"/>
      <c r="F45" s="261"/>
      <c r="G45" s="261"/>
      <c r="H45" s="261"/>
      <c r="I45" s="261"/>
      <c r="J45" s="261"/>
      <c r="K45" s="261"/>
      <c r="L45" s="261"/>
      <c r="M45" s="261"/>
      <c r="N45" s="261"/>
      <c r="O45" s="261"/>
      <c r="P45" s="262">
        <f t="shared" si="6"/>
        <v>0</v>
      </c>
      <c r="Q45" s="263"/>
      <c r="R45" s="255"/>
    </row>
    <row r="46" spans="1:18" ht="12.75" hidden="1" customHeight="1" x14ac:dyDescent="0.2">
      <c r="A46" s="661" t="s">
        <v>426</v>
      </c>
      <c r="B46" s="662" t="s">
        <v>324</v>
      </c>
      <c r="C46" s="663"/>
      <c r="D46" s="665"/>
      <c r="E46" s="261"/>
      <c r="F46" s="261"/>
      <c r="G46" s="261"/>
      <c r="H46" s="261"/>
      <c r="I46" s="261"/>
      <c r="J46" s="261"/>
      <c r="K46" s="261"/>
      <c r="L46" s="261"/>
      <c r="M46" s="261"/>
      <c r="N46" s="261"/>
      <c r="O46" s="261"/>
      <c r="P46" s="262">
        <f t="shared" si="6"/>
        <v>0</v>
      </c>
      <c r="Q46" s="263"/>
      <c r="R46" s="255"/>
    </row>
    <row r="47" spans="1:18" ht="12.75" hidden="1" customHeight="1" x14ac:dyDescent="0.2">
      <c r="A47" s="661" t="s">
        <v>430</v>
      </c>
      <c r="B47" s="666" t="s">
        <v>325</v>
      </c>
      <c r="C47" s="663"/>
      <c r="D47" s="665"/>
      <c r="E47" s="261"/>
      <c r="F47" s="261"/>
      <c r="G47" s="261"/>
      <c r="H47" s="261"/>
      <c r="I47" s="261"/>
      <c r="J47" s="261"/>
      <c r="K47" s="261"/>
      <c r="L47" s="261"/>
      <c r="M47" s="261"/>
      <c r="N47" s="261"/>
      <c r="O47" s="261"/>
      <c r="P47" s="262">
        <f t="shared" si="6"/>
        <v>0</v>
      </c>
      <c r="Q47" s="263"/>
      <c r="R47" s="255"/>
    </row>
    <row r="48" spans="1:18" ht="12.75" hidden="1" customHeight="1" x14ac:dyDescent="0.2">
      <c r="A48" s="661" t="s">
        <v>431</v>
      </c>
      <c r="B48" s="666" t="s">
        <v>324</v>
      </c>
      <c r="C48" s="663"/>
      <c r="D48" s="665"/>
      <c r="E48" s="261"/>
      <c r="F48" s="261"/>
      <c r="G48" s="261"/>
      <c r="H48" s="261"/>
      <c r="I48" s="261"/>
      <c r="J48" s="261"/>
      <c r="K48" s="261"/>
      <c r="L48" s="261"/>
      <c r="M48" s="261"/>
      <c r="N48" s="261"/>
      <c r="O48" s="261"/>
      <c r="P48" s="262">
        <f t="shared" si="6"/>
        <v>0</v>
      </c>
      <c r="Q48" s="263"/>
      <c r="R48" s="255"/>
    </row>
    <row r="49" spans="1:22" ht="12.75" hidden="1" customHeight="1" x14ac:dyDescent="0.2">
      <c r="A49" s="661" t="s">
        <v>429</v>
      </c>
      <c r="B49" s="666" t="s">
        <v>324</v>
      </c>
      <c r="C49" s="663"/>
      <c r="D49" s="665"/>
      <c r="E49" s="261"/>
      <c r="F49" s="261"/>
      <c r="G49" s="261"/>
      <c r="H49" s="261"/>
      <c r="I49" s="261"/>
      <c r="J49" s="261"/>
      <c r="K49" s="261"/>
      <c r="L49" s="261"/>
      <c r="M49" s="261"/>
      <c r="N49" s="261"/>
      <c r="O49" s="261"/>
      <c r="P49" s="262">
        <f>SUM(D49:O49)</f>
        <v>0</v>
      </c>
      <c r="Q49" s="263"/>
      <c r="R49" s="255"/>
    </row>
    <row r="50" spans="1:22" ht="12.75" hidden="1" customHeight="1" x14ac:dyDescent="0.2">
      <c r="A50" s="667" t="s">
        <v>161</v>
      </c>
      <c r="B50" s="662" t="s">
        <v>324</v>
      </c>
      <c r="C50" s="663"/>
      <c r="D50" s="665"/>
      <c r="E50" s="261"/>
      <c r="F50" s="261"/>
      <c r="G50" s="261"/>
      <c r="H50" s="261"/>
      <c r="I50" s="261"/>
      <c r="J50" s="261"/>
      <c r="K50" s="261"/>
      <c r="L50" s="261"/>
      <c r="M50" s="261"/>
      <c r="N50" s="261"/>
      <c r="O50" s="261"/>
      <c r="P50" s="262"/>
      <c r="Q50" s="263">
        <f>SUM(D50:O50)</f>
        <v>0</v>
      </c>
      <c r="R50" s="255"/>
    </row>
    <row r="51" spans="1:22" ht="12.75" hidden="1" customHeight="1" x14ac:dyDescent="0.2">
      <c r="A51" s="667" t="s">
        <v>148</v>
      </c>
      <c r="B51" s="662" t="s">
        <v>325</v>
      </c>
      <c r="C51" s="663"/>
      <c r="D51" s="665"/>
      <c r="E51" s="261"/>
      <c r="F51" s="261"/>
      <c r="G51" s="261"/>
      <c r="H51" s="261"/>
      <c r="I51" s="261"/>
      <c r="J51" s="261"/>
      <c r="K51" s="261"/>
      <c r="L51" s="261"/>
      <c r="M51" s="261"/>
      <c r="N51" s="261"/>
      <c r="O51" s="261"/>
      <c r="P51" s="262"/>
      <c r="Q51" s="263">
        <f t="shared" ref="Q51:Q58" si="7">SUM(D51:O51)</f>
        <v>0</v>
      </c>
      <c r="R51" s="255"/>
    </row>
    <row r="52" spans="1:22" s="272" customFormat="1" ht="12.75" hidden="1" customHeight="1" x14ac:dyDescent="0.2">
      <c r="A52" s="668" t="s">
        <v>149</v>
      </c>
      <c r="B52" s="669" t="s">
        <v>324</v>
      </c>
      <c r="C52" s="670"/>
      <c r="D52" s="671"/>
      <c r="E52" s="268"/>
      <c r="F52" s="268"/>
      <c r="G52" s="268"/>
      <c r="H52" s="268"/>
      <c r="I52" s="268"/>
      <c r="J52" s="268"/>
      <c r="K52" s="268"/>
      <c r="L52" s="268"/>
      <c r="M52" s="268"/>
      <c r="N52" s="268"/>
      <c r="O52" s="268"/>
      <c r="P52" s="269"/>
      <c r="Q52" s="270">
        <f t="shared" si="7"/>
        <v>0</v>
      </c>
      <c r="R52" s="271"/>
      <c r="U52" s="127"/>
      <c r="V52" s="127"/>
    </row>
    <row r="53" spans="1:22" s="272" customFormat="1" ht="12.75" hidden="1" customHeight="1" x14ac:dyDescent="0.2">
      <c r="A53" s="668" t="s">
        <v>315</v>
      </c>
      <c r="B53" s="669" t="s">
        <v>324</v>
      </c>
      <c r="C53" s="670"/>
      <c r="D53" s="671"/>
      <c r="E53" s="268"/>
      <c r="F53" s="268"/>
      <c r="G53" s="268"/>
      <c r="H53" s="268"/>
      <c r="I53" s="268"/>
      <c r="J53" s="268"/>
      <c r="K53" s="268"/>
      <c r="L53" s="268"/>
      <c r="M53" s="268"/>
      <c r="N53" s="268"/>
      <c r="O53" s="268"/>
      <c r="P53" s="269"/>
      <c r="Q53" s="270">
        <f t="shared" si="7"/>
        <v>0</v>
      </c>
      <c r="R53" s="271"/>
      <c r="U53" s="127"/>
      <c r="V53" s="127"/>
    </row>
    <row r="54" spans="1:22" s="272" customFormat="1" ht="12.75" hidden="1" customHeight="1" x14ac:dyDescent="0.2">
      <c r="A54" s="668" t="s">
        <v>151</v>
      </c>
      <c r="B54" s="669" t="str">
        <f>+B47</f>
        <v>NH</v>
      </c>
      <c r="C54" s="670"/>
      <c r="D54" s="671"/>
      <c r="E54" s="268"/>
      <c r="F54" s="268"/>
      <c r="G54" s="268"/>
      <c r="H54" s="268"/>
      <c r="I54" s="268"/>
      <c r="J54" s="268"/>
      <c r="K54" s="268"/>
      <c r="L54" s="268"/>
      <c r="M54" s="268"/>
      <c r="N54" s="268"/>
      <c r="O54" s="268"/>
      <c r="P54" s="269"/>
      <c r="Q54" s="270">
        <f t="shared" si="7"/>
        <v>0</v>
      </c>
      <c r="R54" s="271"/>
      <c r="U54" s="127"/>
      <c r="V54" s="127"/>
    </row>
    <row r="55" spans="1:22" s="272" customFormat="1" ht="12.75" hidden="1" customHeight="1" x14ac:dyDescent="0.2">
      <c r="A55" s="668" t="s">
        <v>152</v>
      </c>
      <c r="B55" s="669" t="str">
        <f>+B48</f>
        <v>H</v>
      </c>
      <c r="C55" s="670"/>
      <c r="D55" s="671"/>
      <c r="E55" s="268"/>
      <c r="F55" s="268"/>
      <c r="G55" s="268"/>
      <c r="H55" s="268"/>
      <c r="I55" s="268"/>
      <c r="J55" s="268"/>
      <c r="K55" s="268"/>
      <c r="L55" s="268"/>
      <c r="M55" s="268"/>
      <c r="N55" s="268"/>
      <c r="O55" s="268"/>
      <c r="P55" s="269"/>
      <c r="Q55" s="270">
        <f t="shared" si="7"/>
        <v>0</v>
      </c>
      <c r="R55" s="271"/>
      <c r="U55" s="127"/>
      <c r="V55" s="127"/>
    </row>
    <row r="56" spans="1:22" s="272" customFormat="1" ht="12.75" hidden="1" customHeight="1" x14ac:dyDescent="0.2">
      <c r="A56" s="668" t="s">
        <v>153</v>
      </c>
      <c r="B56" s="669" t="str">
        <f>+B49</f>
        <v>H</v>
      </c>
      <c r="C56" s="670"/>
      <c r="D56" s="671"/>
      <c r="E56" s="268"/>
      <c r="F56" s="268"/>
      <c r="G56" s="268"/>
      <c r="H56" s="268"/>
      <c r="I56" s="268"/>
      <c r="J56" s="268"/>
      <c r="K56" s="268"/>
      <c r="L56" s="268"/>
      <c r="M56" s="268"/>
      <c r="N56" s="268"/>
      <c r="O56" s="268"/>
      <c r="P56" s="269"/>
      <c r="Q56" s="270">
        <f t="shared" si="7"/>
        <v>0</v>
      </c>
      <c r="R56" s="271"/>
      <c r="U56" s="127"/>
      <c r="V56" s="127"/>
    </row>
    <row r="57" spans="1:22" s="272" customFormat="1" ht="12.75" hidden="1" customHeight="1" x14ac:dyDescent="0.2">
      <c r="A57" s="668" t="s">
        <v>154</v>
      </c>
      <c r="B57" s="669" t="s">
        <v>324</v>
      </c>
      <c r="C57" s="670"/>
      <c r="D57" s="671"/>
      <c r="E57" s="268"/>
      <c r="F57" s="268"/>
      <c r="G57" s="268"/>
      <c r="H57" s="268"/>
      <c r="I57" s="268"/>
      <c r="J57" s="268"/>
      <c r="K57" s="268"/>
      <c r="L57" s="268"/>
      <c r="M57" s="268"/>
      <c r="N57" s="268"/>
      <c r="O57" s="268"/>
      <c r="P57" s="269"/>
      <c r="Q57" s="270">
        <f t="shared" si="7"/>
        <v>0</v>
      </c>
      <c r="R57" s="271"/>
      <c r="U57" s="127"/>
      <c r="V57" s="127"/>
    </row>
    <row r="58" spans="1:22" s="272" customFormat="1" ht="12.75" hidden="1" customHeight="1" x14ac:dyDescent="0.2">
      <c r="A58" s="668" t="s">
        <v>155</v>
      </c>
      <c r="B58" s="669" t="s">
        <v>324</v>
      </c>
      <c r="C58" s="670"/>
      <c r="D58" s="671"/>
      <c r="E58" s="268"/>
      <c r="F58" s="268"/>
      <c r="G58" s="268"/>
      <c r="H58" s="268"/>
      <c r="I58" s="268"/>
      <c r="J58" s="268"/>
      <c r="K58" s="268"/>
      <c r="L58" s="268"/>
      <c r="M58" s="268"/>
      <c r="N58" s="268"/>
      <c r="O58" s="268"/>
      <c r="P58" s="269"/>
      <c r="Q58" s="270">
        <f t="shared" si="7"/>
        <v>0</v>
      </c>
      <c r="R58" s="271"/>
      <c r="U58" s="127"/>
      <c r="V58" s="127"/>
    </row>
    <row r="59" spans="1:22" ht="12.75" hidden="1" customHeight="1" x14ac:dyDescent="0.2">
      <c r="A59" s="661"/>
      <c r="B59" s="662"/>
      <c r="C59" s="663"/>
      <c r="D59" s="665"/>
      <c r="E59" s="261"/>
      <c r="F59" s="261"/>
      <c r="G59" s="261"/>
      <c r="H59" s="261"/>
      <c r="I59" s="261"/>
      <c r="J59" s="261"/>
      <c r="K59" s="261"/>
      <c r="L59" s="261"/>
      <c r="M59" s="261"/>
      <c r="N59" s="261"/>
      <c r="O59" s="261"/>
      <c r="P59" s="262"/>
      <c r="Q59" s="263"/>
      <c r="R59" s="255"/>
    </row>
    <row r="60" spans="1:22" ht="12.75" hidden="1" customHeight="1" x14ac:dyDescent="0.2">
      <c r="A60" s="661"/>
      <c r="B60" s="662"/>
      <c r="C60" s="663"/>
      <c r="D60" s="665"/>
      <c r="E60" s="261"/>
      <c r="F60" s="261"/>
      <c r="G60" s="261"/>
      <c r="H60" s="261"/>
      <c r="I60" s="261"/>
      <c r="J60" s="261"/>
      <c r="K60" s="261"/>
      <c r="L60" s="261"/>
      <c r="M60" s="261"/>
      <c r="N60" s="261"/>
      <c r="O60" s="261"/>
      <c r="P60" s="262"/>
      <c r="Q60" s="263"/>
      <c r="R60" s="255"/>
    </row>
    <row r="61" spans="1:22" ht="12.75" hidden="1" customHeight="1" x14ac:dyDescent="0.2">
      <c r="A61" s="661" t="s">
        <v>156</v>
      </c>
      <c r="B61" s="666" t="s">
        <v>325</v>
      </c>
      <c r="C61" s="663"/>
      <c r="D61" s="665"/>
      <c r="E61" s="261"/>
      <c r="F61" s="261"/>
      <c r="G61" s="261"/>
      <c r="H61" s="261"/>
      <c r="I61" s="261"/>
      <c r="J61" s="261"/>
      <c r="K61" s="261"/>
      <c r="L61" s="261"/>
      <c r="M61" s="261"/>
      <c r="N61" s="261"/>
      <c r="O61" s="261"/>
      <c r="P61" s="262">
        <f>SUM(D61:O61)</f>
        <v>0</v>
      </c>
      <c r="Q61" s="263"/>
      <c r="R61" s="255"/>
    </row>
    <row r="62" spans="1:22" ht="12.75" hidden="1" customHeight="1" x14ac:dyDescent="0.2">
      <c r="A62" s="667" t="s">
        <v>157</v>
      </c>
      <c r="B62" s="666" t="s">
        <v>325</v>
      </c>
      <c r="C62" s="663"/>
      <c r="D62" s="665"/>
      <c r="E62" s="261"/>
      <c r="F62" s="261"/>
      <c r="G62" s="261"/>
      <c r="H62" s="261"/>
      <c r="I62" s="261"/>
      <c r="J62" s="261"/>
      <c r="K62" s="261"/>
      <c r="L62" s="261"/>
      <c r="M62" s="261"/>
      <c r="N62" s="261"/>
      <c r="O62" s="261"/>
      <c r="P62" s="262"/>
      <c r="Q62" s="263">
        <f>SUM(D62:O62)</f>
        <v>0</v>
      </c>
      <c r="R62" s="255"/>
    </row>
    <row r="63" spans="1:22" ht="12.75" hidden="1" customHeight="1" x14ac:dyDescent="0.2">
      <c r="A63" s="661"/>
      <c r="B63" s="662"/>
      <c r="C63" s="663"/>
      <c r="D63" s="665"/>
      <c r="E63" s="261"/>
      <c r="F63" s="261"/>
      <c r="G63" s="261"/>
      <c r="H63" s="261"/>
      <c r="I63" s="261"/>
      <c r="J63" s="261"/>
      <c r="K63" s="261"/>
      <c r="L63" s="261"/>
      <c r="M63" s="261"/>
      <c r="N63" s="261"/>
      <c r="O63" s="261"/>
      <c r="P63" s="262"/>
      <c r="Q63" s="263"/>
      <c r="R63" s="255"/>
    </row>
    <row r="64" spans="1:22" ht="12.75" hidden="1" customHeight="1" x14ac:dyDescent="0.2">
      <c r="A64" s="661"/>
      <c r="B64" s="662"/>
      <c r="C64" s="663"/>
      <c r="D64" s="665"/>
      <c r="E64" s="261"/>
      <c r="F64" s="261"/>
      <c r="G64" s="261"/>
      <c r="H64" s="261"/>
      <c r="I64" s="261"/>
      <c r="J64" s="261"/>
      <c r="K64" s="261"/>
      <c r="L64" s="261"/>
      <c r="M64" s="261"/>
      <c r="N64" s="261"/>
      <c r="O64" s="261"/>
      <c r="P64" s="262"/>
      <c r="Q64" s="263"/>
      <c r="R64" s="255"/>
    </row>
    <row r="65" spans="1:22" ht="12.75" hidden="1" customHeight="1" x14ac:dyDescent="0.2">
      <c r="A65" s="673" t="s">
        <v>162</v>
      </c>
      <c r="B65" s="662"/>
      <c r="C65" s="662"/>
      <c r="D65" s="674">
        <f t="shared" ref="D65:O65" si="8">SUM(D42:D64)</f>
        <v>0</v>
      </c>
      <c r="E65" s="273">
        <f t="shared" si="8"/>
        <v>0</v>
      </c>
      <c r="F65" s="273">
        <f t="shared" si="8"/>
        <v>0</v>
      </c>
      <c r="G65" s="273">
        <f t="shared" si="8"/>
        <v>0</v>
      </c>
      <c r="H65" s="273">
        <f t="shared" si="8"/>
        <v>0</v>
      </c>
      <c r="I65" s="273">
        <f t="shared" si="8"/>
        <v>0</v>
      </c>
      <c r="J65" s="273">
        <f t="shared" si="8"/>
        <v>0</v>
      </c>
      <c r="K65" s="273">
        <f t="shared" si="8"/>
        <v>0</v>
      </c>
      <c r="L65" s="273">
        <f t="shared" si="8"/>
        <v>0</v>
      </c>
      <c r="M65" s="273">
        <f t="shared" si="8"/>
        <v>0</v>
      </c>
      <c r="N65" s="273">
        <f t="shared" si="8"/>
        <v>0</v>
      </c>
      <c r="O65" s="273">
        <f t="shared" si="8"/>
        <v>0</v>
      </c>
      <c r="P65" s="262"/>
      <c r="Q65" s="263"/>
      <c r="R65" s="255"/>
    </row>
    <row r="66" spans="1:22" ht="12.75" hidden="1" customHeight="1" x14ac:dyDescent="0.2">
      <c r="A66" s="661"/>
      <c r="B66" s="683"/>
      <c r="C66" s="663"/>
      <c r="D66" s="684"/>
      <c r="E66" s="279"/>
      <c r="F66" s="279"/>
      <c r="G66" s="279"/>
      <c r="H66" s="279"/>
      <c r="I66" s="279"/>
      <c r="J66" s="279"/>
      <c r="K66" s="279"/>
      <c r="L66" s="279"/>
      <c r="M66" s="279"/>
      <c r="N66" s="279"/>
      <c r="O66" s="279"/>
      <c r="P66" s="262"/>
      <c r="Q66" s="263"/>
      <c r="R66" s="255"/>
    </row>
    <row r="67" spans="1:22" ht="12.75" hidden="1" customHeight="1" x14ac:dyDescent="0.2">
      <c r="A67" s="661"/>
      <c r="B67" s="685"/>
      <c r="C67" s="663"/>
      <c r="D67" s="684"/>
      <c r="E67" s="279"/>
      <c r="F67" s="279"/>
      <c r="G67" s="279"/>
      <c r="H67" s="279"/>
      <c r="I67" s="279"/>
      <c r="J67" s="279"/>
      <c r="K67" s="279"/>
      <c r="L67" s="279"/>
      <c r="M67" s="279"/>
      <c r="N67" s="279"/>
      <c r="O67" s="279"/>
      <c r="P67" s="262"/>
      <c r="Q67" s="263"/>
      <c r="R67" s="255"/>
    </row>
    <row r="68" spans="1:22" ht="12.75" hidden="1" customHeight="1" x14ac:dyDescent="0.2">
      <c r="A68" s="686" t="s">
        <v>164</v>
      </c>
      <c r="B68" s="683"/>
      <c r="C68" s="662"/>
      <c r="D68" s="687">
        <f t="shared" ref="D68:O68" si="9">+SUM(D7:D18,D32:D33,D42:D49,D61:D61)</f>
        <v>2200000</v>
      </c>
      <c r="E68" s="282">
        <f t="shared" si="9"/>
        <v>2200000</v>
      </c>
      <c r="F68" s="282">
        <f t="shared" si="9"/>
        <v>2200000</v>
      </c>
      <c r="G68" s="282">
        <f t="shared" si="9"/>
        <v>2200000</v>
      </c>
      <c r="H68" s="282">
        <f t="shared" si="9"/>
        <v>2200000</v>
      </c>
      <c r="I68" s="282">
        <f t="shared" si="9"/>
        <v>2200000</v>
      </c>
      <c r="J68" s="282">
        <f t="shared" si="9"/>
        <v>2200000</v>
      </c>
      <c r="K68" s="282">
        <f t="shared" si="9"/>
        <v>2200000</v>
      </c>
      <c r="L68" s="282">
        <f t="shared" si="9"/>
        <v>2200000</v>
      </c>
      <c r="M68" s="282">
        <f t="shared" si="9"/>
        <v>2200000</v>
      </c>
      <c r="N68" s="282">
        <f t="shared" si="9"/>
        <v>2200000</v>
      </c>
      <c r="O68" s="282">
        <f t="shared" si="9"/>
        <v>2200000</v>
      </c>
      <c r="P68" s="282">
        <f>SUM(D68:O68)</f>
        <v>26400000</v>
      </c>
      <c r="Q68" s="283"/>
      <c r="R68" s="255"/>
    </row>
    <row r="69" spans="1:22" ht="12.75" hidden="1" customHeight="1" x14ac:dyDescent="0.2">
      <c r="A69" s="688" t="s">
        <v>165</v>
      </c>
      <c r="B69" s="685"/>
      <c r="C69" s="663"/>
      <c r="D69" s="689">
        <f>+SUM(D19:D29,D34:D35,D50:D58,D62:D62)</f>
        <v>0</v>
      </c>
      <c r="E69" s="283">
        <f t="shared" ref="E69:O69" si="10">+SUM(E19:E29,E34:E35,E50:E58,E62:E62)</f>
        <v>0</v>
      </c>
      <c r="F69" s="283">
        <f t="shared" si="10"/>
        <v>0</v>
      </c>
      <c r="G69" s="283">
        <f t="shared" si="10"/>
        <v>0</v>
      </c>
      <c r="H69" s="283">
        <f t="shared" si="10"/>
        <v>0</v>
      </c>
      <c r="I69" s="283">
        <f t="shared" si="10"/>
        <v>0</v>
      </c>
      <c r="J69" s="283">
        <f t="shared" si="10"/>
        <v>0</v>
      </c>
      <c r="K69" s="283">
        <f t="shared" si="10"/>
        <v>0</v>
      </c>
      <c r="L69" s="283">
        <f t="shared" si="10"/>
        <v>0</v>
      </c>
      <c r="M69" s="283">
        <f t="shared" si="10"/>
        <v>0</v>
      </c>
      <c r="N69" s="283">
        <f t="shared" si="10"/>
        <v>0</v>
      </c>
      <c r="O69" s="283">
        <f t="shared" si="10"/>
        <v>0</v>
      </c>
      <c r="P69" s="282"/>
      <c r="Q69" s="283">
        <f>SUM(D69:O69)</f>
        <v>0</v>
      </c>
      <c r="R69" s="255"/>
    </row>
    <row r="70" spans="1:22" ht="12.75" hidden="1" customHeight="1" x14ac:dyDescent="0.2">
      <c r="A70" s="686" t="s">
        <v>166</v>
      </c>
      <c r="B70" s="685"/>
      <c r="C70" s="663"/>
      <c r="D70" s="687">
        <f>SUM(D68:D69)</f>
        <v>2200000</v>
      </c>
      <c r="E70" s="282">
        <f t="shared" ref="E70:O70" si="11">SUM(E68:E69)</f>
        <v>2200000</v>
      </c>
      <c r="F70" s="282">
        <f t="shared" si="11"/>
        <v>2200000</v>
      </c>
      <c r="G70" s="282">
        <f t="shared" si="11"/>
        <v>2200000</v>
      </c>
      <c r="H70" s="282">
        <f t="shared" si="11"/>
        <v>2200000</v>
      </c>
      <c r="I70" s="282">
        <f t="shared" si="11"/>
        <v>2200000</v>
      </c>
      <c r="J70" s="282">
        <f t="shared" si="11"/>
        <v>2200000</v>
      </c>
      <c r="K70" s="282">
        <f t="shared" si="11"/>
        <v>2200000</v>
      </c>
      <c r="L70" s="282">
        <f t="shared" si="11"/>
        <v>2200000</v>
      </c>
      <c r="M70" s="282">
        <f t="shared" si="11"/>
        <v>2200000</v>
      </c>
      <c r="N70" s="282">
        <f t="shared" si="11"/>
        <v>2200000</v>
      </c>
      <c r="O70" s="282">
        <f t="shared" si="11"/>
        <v>2200000</v>
      </c>
      <c r="P70" s="817"/>
      <c r="Q70" s="818"/>
      <c r="R70" s="285">
        <f>+P68+Q69</f>
        <v>26400000</v>
      </c>
      <c r="S70" s="286"/>
    </row>
    <row r="71" spans="1:22" ht="12.75" hidden="1" customHeight="1" x14ac:dyDescent="0.2">
      <c r="A71" s="661"/>
      <c r="B71" s="685"/>
      <c r="C71" s="663"/>
      <c r="D71" s="684"/>
      <c r="E71" s="279"/>
      <c r="F71" s="279"/>
      <c r="G71" s="279"/>
      <c r="H71" s="279"/>
      <c r="I71" s="279"/>
      <c r="J71" s="279"/>
      <c r="K71" s="279"/>
      <c r="L71" s="279"/>
      <c r="M71" s="279"/>
      <c r="N71" s="279"/>
      <c r="O71" s="279"/>
      <c r="P71" s="262"/>
      <c r="Q71" s="287"/>
      <c r="R71" s="288"/>
      <c r="S71" s="289"/>
    </row>
    <row r="72" spans="1:22" s="272" customFormat="1" ht="13.9" hidden="1" customHeight="1" x14ac:dyDescent="0.2">
      <c r="A72" s="690"/>
      <c r="B72" s="691"/>
      <c r="C72" s="691"/>
      <c r="D72" s="692"/>
      <c r="E72" s="290"/>
      <c r="F72" s="290"/>
      <c r="G72" s="290"/>
      <c r="H72" s="290"/>
      <c r="I72" s="290"/>
      <c r="J72" s="290"/>
      <c r="K72" s="290"/>
      <c r="L72" s="290"/>
      <c r="M72" s="290"/>
      <c r="N72" s="290"/>
      <c r="O72" s="290"/>
      <c r="P72" s="291"/>
      <c r="Q72" s="292"/>
      <c r="U72" s="127"/>
      <c r="V72" s="127"/>
    </row>
    <row r="73" spans="1:22" s="272" customFormat="1" ht="12.75" hidden="1" customHeight="1" x14ac:dyDescent="0.2">
      <c r="A73" s="693" t="s">
        <v>21</v>
      </c>
      <c r="B73" s="694"/>
      <c r="C73" s="694"/>
      <c r="D73" s="695">
        <f t="shared" ref="D73:O73" si="12">+D38+D65</f>
        <v>2200000</v>
      </c>
      <c r="E73" s="293">
        <f t="shared" si="12"/>
        <v>2200000</v>
      </c>
      <c r="F73" s="293">
        <f t="shared" si="12"/>
        <v>2200000</v>
      </c>
      <c r="G73" s="293">
        <f t="shared" si="12"/>
        <v>2200000</v>
      </c>
      <c r="H73" s="293">
        <f t="shared" si="12"/>
        <v>2200000</v>
      </c>
      <c r="I73" s="293">
        <f t="shared" si="12"/>
        <v>2200000</v>
      </c>
      <c r="J73" s="293">
        <f t="shared" si="12"/>
        <v>2200000</v>
      </c>
      <c r="K73" s="293">
        <f t="shared" si="12"/>
        <v>2200000</v>
      </c>
      <c r="L73" s="293">
        <f t="shared" si="12"/>
        <v>2200000</v>
      </c>
      <c r="M73" s="293">
        <f t="shared" si="12"/>
        <v>2200000</v>
      </c>
      <c r="N73" s="293">
        <f t="shared" si="12"/>
        <v>2200000</v>
      </c>
      <c r="O73" s="293">
        <f t="shared" si="12"/>
        <v>2200000</v>
      </c>
      <c r="P73" s="294">
        <f>+SUM(D73:O73)</f>
        <v>26400000</v>
      </c>
      <c r="Q73" s="294"/>
      <c r="S73" s="295"/>
      <c r="T73" s="296"/>
      <c r="U73" s="127"/>
      <c r="V73" s="127"/>
    </row>
    <row r="74" spans="1:22" s="272" customFormat="1" ht="12.75" hidden="1" customHeight="1" thickBot="1" x14ac:dyDescent="0.25">
      <c r="A74" s="696" t="s">
        <v>167</v>
      </c>
      <c r="B74" s="697"/>
      <c r="C74" s="697"/>
      <c r="D74" s="698">
        <f>+AVERAGE($D$73:D73)</f>
        <v>2200000</v>
      </c>
      <c r="E74" s="297">
        <f>+AVERAGE($D$73:E73)</f>
        <v>2200000</v>
      </c>
      <c r="F74" s="297">
        <f>+AVERAGE($D$73:F73)</f>
        <v>2200000</v>
      </c>
      <c r="G74" s="297">
        <f>+AVERAGE($D$73:G73)</f>
        <v>2200000</v>
      </c>
      <c r="H74" s="297">
        <f>+AVERAGE($D$73:H73)</f>
        <v>2200000</v>
      </c>
      <c r="I74" s="297">
        <f>+AVERAGE($D$73:I73)</f>
        <v>2200000</v>
      </c>
      <c r="J74" s="297">
        <f>+AVERAGE($D$73:J73)</f>
        <v>2200000</v>
      </c>
      <c r="K74" s="297">
        <f>+AVERAGE($D$73:K73)</f>
        <v>2200000</v>
      </c>
      <c r="L74" s="297">
        <f>+AVERAGE($D$73:L73)</f>
        <v>2200000</v>
      </c>
      <c r="M74" s="297">
        <f>+AVERAGE($D$73:M73)</f>
        <v>2200000</v>
      </c>
      <c r="N74" s="297">
        <f>+AVERAGE($D$73:N73)</f>
        <v>2200000</v>
      </c>
      <c r="O74" s="297">
        <f>+AVERAGE($D$73:O73)</f>
        <v>2200000</v>
      </c>
      <c r="P74" s="298">
        <f>+P73/12</f>
        <v>2200000</v>
      </c>
      <c r="Q74" s="299"/>
      <c r="R74" s="300" t="s">
        <v>61</v>
      </c>
      <c r="U74" s="127"/>
      <c r="V74" s="127"/>
    </row>
    <row r="75" spans="1:22" s="272" customFormat="1" ht="15.6" hidden="1" customHeight="1" thickBot="1" x14ac:dyDescent="0.25">
      <c r="A75" s="699" t="s">
        <v>241</v>
      </c>
      <c r="B75" s="700"/>
      <c r="C75" s="700"/>
      <c r="D75" s="701">
        <f>+MIN(D73:D74)</f>
        <v>2200000</v>
      </c>
      <c r="E75" s="301">
        <f t="shared" ref="E75:O75" si="13">+MIN(E73:E74)</f>
        <v>2200000</v>
      </c>
      <c r="F75" s="301">
        <f t="shared" si="13"/>
        <v>2200000</v>
      </c>
      <c r="G75" s="301">
        <f t="shared" si="13"/>
        <v>2200000</v>
      </c>
      <c r="H75" s="301">
        <f t="shared" si="13"/>
        <v>2200000</v>
      </c>
      <c r="I75" s="301">
        <f t="shared" si="13"/>
        <v>2200000</v>
      </c>
      <c r="J75" s="301">
        <f t="shared" si="13"/>
        <v>2200000</v>
      </c>
      <c r="K75" s="301">
        <f t="shared" si="13"/>
        <v>2200000</v>
      </c>
      <c r="L75" s="301">
        <f t="shared" si="13"/>
        <v>2200000</v>
      </c>
      <c r="M75" s="301">
        <f t="shared" si="13"/>
        <v>2200000</v>
      </c>
      <c r="N75" s="301">
        <f t="shared" si="13"/>
        <v>2200000</v>
      </c>
      <c r="O75" s="301">
        <f t="shared" si="13"/>
        <v>2200000</v>
      </c>
      <c r="P75" s="302"/>
      <c r="Q75" s="303"/>
      <c r="R75" s="304"/>
      <c r="U75" s="127"/>
      <c r="V75" s="127"/>
    </row>
    <row r="76" spans="1:22" s="272" customFormat="1" ht="12.75" hidden="1" customHeight="1" x14ac:dyDescent="0.2">
      <c r="A76" s="702" t="s">
        <v>412</v>
      </c>
      <c r="B76" s="703"/>
      <c r="C76" s="703"/>
      <c r="D76" s="704">
        <f>+AVERAGE($D$73:D73)</f>
        <v>2200000</v>
      </c>
      <c r="E76" s="305">
        <f>+AVERAGE($D$73:E73)</f>
        <v>2200000</v>
      </c>
      <c r="F76" s="305">
        <f>+AVERAGE($D$73:F73)</f>
        <v>2200000</v>
      </c>
      <c r="G76" s="305">
        <f>+AVERAGE($D$73:G73)</f>
        <v>2200000</v>
      </c>
      <c r="H76" s="305">
        <f>+AVERAGE($D$73:H73)</f>
        <v>2200000</v>
      </c>
      <c r="I76" s="305">
        <f>+AVERAGE($D$73:I73)</f>
        <v>2200000</v>
      </c>
      <c r="J76" s="305">
        <f>+AVERAGE($J$73:J73)</f>
        <v>2200000</v>
      </c>
      <c r="K76" s="305">
        <f>+AVERAGE($J$73:K73)</f>
        <v>2200000</v>
      </c>
      <c r="L76" s="305">
        <f>+AVERAGE($J$73:L73)</f>
        <v>2200000</v>
      </c>
      <c r="M76" s="305">
        <f>+AVERAGE($J$73:M73)</f>
        <v>2200000</v>
      </c>
      <c r="N76" s="305">
        <f>+AVERAGE($J$73:N73)</f>
        <v>2200000</v>
      </c>
      <c r="O76" s="305">
        <f>+AVERAGE($J$73:O73)</f>
        <v>2200000</v>
      </c>
      <c r="P76" s="306"/>
      <c r="Q76" s="306"/>
      <c r="R76" s="307"/>
      <c r="U76" s="127"/>
      <c r="V76" s="127"/>
    </row>
    <row r="77" spans="1:22" s="272" customFormat="1" ht="12.75" hidden="1" customHeight="1" x14ac:dyDescent="0.2">
      <c r="A77" s="693" t="s">
        <v>413</v>
      </c>
      <c r="B77" s="694"/>
      <c r="C77" s="694"/>
      <c r="D77" s="695">
        <f>+AVERAGE($D$73:D$73)</f>
        <v>2200000</v>
      </c>
      <c r="E77" s="293">
        <f>+AVERAGE($D$73:E$73)</f>
        <v>2200000</v>
      </c>
      <c r="F77" s="293">
        <f>+AVERAGE($D$73:F$73)</f>
        <v>2200000</v>
      </c>
      <c r="G77" s="293">
        <f>+AVERAGE($D$73:G$73)</f>
        <v>2200000</v>
      </c>
      <c r="H77" s="293">
        <f>+AVERAGE($D$73:H$73)</f>
        <v>2200000</v>
      </c>
      <c r="I77" s="293">
        <f>+AVERAGE($D$73:I$73)</f>
        <v>2200000</v>
      </c>
      <c r="J77" s="293">
        <f>+AVERAGE($D$73:J$73)</f>
        <v>2200000</v>
      </c>
      <c r="K77" s="293">
        <f>+AVERAGE($D$73:K$73)</f>
        <v>2200000</v>
      </c>
      <c r="L77" s="293">
        <f>+AVERAGE($D$73:L$73)</f>
        <v>2200000</v>
      </c>
      <c r="M77" s="293">
        <f>+AVERAGE($D$73:M$73)</f>
        <v>2200000</v>
      </c>
      <c r="N77" s="293">
        <f>+AVERAGE($D$73:N$73)</f>
        <v>2200000</v>
      </c>
      <c r="O77" s="293">
        <f>+AVERAGE($D$73:O$73)</f>
        <v>2200000</v>
      </c>
      <c r="P77" s="294"/>
      <c r="Q77" s="294"/>
      <c r="R77" s="307"/>
      <c r="U77" s="127"/>
      <c r="V77" s="127"/>
    </row>
    <row r="78" spans="1:22" s="272" customFormat="1" ht="12.75" hidden="1" customHeight="1" x14ac:dyDescent="0.2">
      <c r="A78" s="705" t="s">
        <v>91</v>
      </c>
      <c r="B78" s="670"/>
      <c r="C78" s="706"/>
      <c r="D78" s="707" t="e">
        <f>+IF(D75&lt;=Tablas!D34,"Grupo 1",IF(D75&lt;=Tablas!#REF!,"Grupo 2","Grupo 3"))</f>
        <v>#REF!</v>
      </c>
      <c r="E78" s="128" t="e">
        <f>+IF(E75&lt;=Tablas!E34,"Grupo 1",IF(E75&lt;=Tablas!#REF!,"Grupo 2","Grupo 3"))</f>
        <v>#REF!</v>
      </c>
      <c r="F78" s="128" t="e">
        <f>+IF(F75&lt;=Tablas!F34,"Grupo 1",IF(F75&lt;=Tablas!#REF!,"Grupo 2","Grupo 3"))</f>
        <v>#REF!</v>
      </c>
      <c r="G78" s="128" t="e">
        <f>+IF(G75&lt;=Tablas!G34,"Grupo 1",IF(G75&lt;=Tablas!#REF!,"Grupo 2","Grupo 3"))</f>
        <v>#REF!</v>
      </c>
      <c r="H78" s="128" t="e">
        <f>+IF(H75&lt;=Tablas!H34,"Grupo 1",IF(H75&lt;=Tablas!#REF!,"Grupo 2","Grupo 3"))</f>
        <v>#REF!</v>
      </c>
      <c r="I78" s="128" t="e">
        <f>+IF(I75&lt;=Tablas!I34,"Grupo 1",IF(I75&lt;=Tablas!#REF!,"Grupo 2","Grupo 3"))</f>
        <v>#REF!</v>
      </c>
      <c r="J78" s="128" t="e">
        <f>+IF(J75&lt;=Tablas!J34,"Grupo 1",IF(J75&lt;=Tablas!#REF!,"Grupo 2","Grupo 3"))</f>
        <v>#REF!</v>
      </c>
      <c r="K78" s="128" t="e">
        <f>+IF(K75&lt;=Tablas!K34,"Grupo 1",IF(K75&lt;=Tablas!#REF!,"Grupo 2","Grupo 3"))</f>
        <v>#REF!</v>
      </c>
      <c r="L78" s="128" t="e">
        <f>+IF(L75&lt;=Tablas!L34,"Grupo 1",IF(L75&lt;=Tablas!#REF!,"Grupo 2","Grupo 3"))</f>
        <v>#REF!</v>
      </c>
      <c r="M78" s="128" t="e">
        <f>+IF(M75&lt;=Tablas!M34,"Grupo 1",IF(M75&lt;=Tablas!#REF!,"Grupo 2","Grupo 3"))</f>
        <v>#REF!</v>
      </c>
      <c r="N78" s="128" t="e">
        <f>+IF(N75&lt;=Tablas!N34,"Grupo 1",IF(N75&lt;=Tablas!#REF!,"Grupo 2","Grupo 3"))</f>
        <v>#REF!</v>
      </c>
      <c r="O78" s="128" t="e">
        <f>+IF(O75&lt;=Tablas!O34,"Grupo 1",IF(O75&lt;=Tablas!#REF!,"Grupo 2","Grupo 3"))</f>
        <v>#REF!</v>
      </c>
      <c r="P78" s="294"/>
      <c r="Q78" s="294"/>
      <c r="R78" s="304"/>
      <c r="U78" s="127"/>
      <c r="V78" s="127"/>
    </row>
    <row r="79" spans="1:22" s="272" customFormat="1" ht="12.75" hidden="1" customHeight="1" x14ac:dyDescent="0.2">
      <c r="A79" s="708"/>
      <c r="B79" s="709"/>
      <c r="C79" s="709"/>
      <c r="D79" s="710"/>
      <c r="E79" s="308"/>
      <c r="F79" s="308"/>
      <c r="G79" s="308"/>
      <c r="H79" s="308"/>
      <c r="I79" s="308"/>
      <c r="J79" s="308"/>
      <c r="K79" s="308"/>
      <c r="L79" s="308"/>
      <c r="M79" s="308"/>
      <c r="N79" s="308"/>
      <c r="O79" s="308"/>
      <c r="P79" s="309"/>
      <c r="Q79" s="310"/>
      <c r="R79" s="304"/>
      <c r="U79" s="127"/>
      <c r="V79" s="127"/>
    </row>
    <row r="80" spans="1:22" ht="12.6" hidden="1" customHeight="1" x14ac:dyDescent="0.2">
      <c r="A80" s="711"/>
      <c r="B80" s="712"/>
      <c r="C80" s="712"/>
      <c r="D80" s="713"/>
      <c r="E80" s="313"/>
      <c r="F80" s="313"/>
      <c r="G80" s="313"/>
      <c r="H80" s="313"/>
      <c r="I80" s="313"/>
      <c r="J80" s="313"/>
      <c r="K80" s="313"/>
      <c r="L80" s="313"/>
      <c r="M80" s="313"/>
      <c r="N80" s="313"/>
      <c r="O80" s="313"/>
      <c r="P80" s="314"/>
      <c r="Q80" s="315"/>
    </row>
    <row r="81" spans="1:67" ht="21" hidden="1" customHeight="1" x14ac:dyDescent="0.2">
      <c r="A81" s="714" t="s">
        <v>224</v>
      </c>
      <c r="B81" s="715"/>
      <c r="C81" s="715"/>
      <c r="D81" s="716"/>
      <c r="E81" s="247"/>
      <c r="F81" s="247"/>
      <c r="G81" s="247"/>
      <c r="H81" s="247"/>
      <c r="I81" s="247"/>
      <c r="J81" s="247"/>
      <c r="K81" s="247"/>
      <c r="L81" s="247"/>
      <c r="M81" s="247"/>
      <c r="N81" s="247"/>
      <c r="O81" s="317"/>
      <c r="P81" s="318"/>
      <c r="Q81" s="319"/>
    </row>
    <row r="82" spans="1:67" ht="18" hidden="1" customHeight="1" x14ac:dyDescent="0.2">
      <c r="A82" s="717" t="s">
        <v>242</v>
      </c>
      <c r="B82" s="718"/>
      <c r="C82" s="718"/>
      <c r="D82" s="719"/>
      <c r="E82" s="320"/>
      <c r="F82" s="320"/>
      <c r="G82" s="320"/>
      <c r="H82" s="320"/>
      <c r="I82" s="320"/>
      <c r="J82" s="320"/>
      <c r="K82" s="320"/>
      <c r="L82" s="320"/>
      <c r="M82" s="320"/>
      <c r="N82" s="320"/>
      <c r="O82" s="321"/>
      <c r="P82" s="318"/>
      <c r="Q82" s="319"/>
    </row>
    <row r="83" spans="1:67" ht="12.75" hidden="1" customHeight="1" x14ac:dyDescent="0.2">
      <c r="A83" s="720" t="s">
        <v>225</v>
      </c>
      <c r="B83" s="685"/>
      <c r="C83" s="685"/>
      <c r="D83" s="721">
        <f t="shared" ref="D83:O83" si="14">+SUMIFS(D7:D37,$C7:$C37,"R")</f>
        <v>2200000</v>
      </c>
      <c r="E83" s="322">
        <f t="shared" si="14"/>
        <v>2200000</v>
      </c>
      <c r="F83" s="322">
        <f t="shared" si="14"/>
        <v>2200000</v>
      </c>
      <c r="G83" s="322">
        <f t="shared" si="14"/>
        <v>2200000</v>
      </c>
      <c r="H83" s="322">
        <f t="shared" si="14"/>
        <v>2200000</v>
      </c>
      <c r="I83" s="322">
        <f t="shared" si="14"/>
        <v>2200000</v>
      </c>
      <c r="J83" s="322">
        <f t="shared" si="14"/>
        <v>2200000</v>
      </c>
      <c r="K83" s="322">
        <f t="shared" si="14"/>
        <v>2200000</v>
      </c>
      <c r="L83" s="322">
        <f t="shared" si="14"/>
        <v>2200000</v>
      </c>
      <c r="M83" s="322">
        <f t="shared" si="14"/>
        <v>2200000</v>
      </c>
      <c r="N83" s="322">
        <f t="shared" si="14"/>
        <v>2200000</v>
      </c>
      <c r="O83" s="322">
        <f t="shared" si="14"/>
        <v>2200000</v>
      </c>
      <c r="P83" s="323"/>
      <c r="Q83" s="319"/>
    </row>
    <row r="84" spans="1:67" ht="12.75" hidden="1" customHeight="1" x14ac:dyDescent="0.2">
      <c r="A84" s="720" t="s">
        <v>226</v>
      </c>
      <c r="B84" s="685"/>
      <c r="C84" s="685"/>
      <c r="D84" s="721">
        <f>+IF(D2="SI",Tablas!D33,Tablas!D33)/30*30</f>
        <v>2360165.23</v>
      </c>
      <c r="E84" s="322">
        <f>+IF(E2="SI",Tablas!E33,Tablas!D33)/30*30</f>
        <v>2360165.23</v>
      </c>
      <c r="F84" s="322">
        <f>+IF(F2="SI",Tablas!F33,Tablas!E33)/30*30</f>
        <v>2360165.23</v>
      </c>
      <c r="G84" s="322">
        <f>+IF(G2="SI",Tablas!G33,Tablas!F33)/30*30</f>
        <v>2360165.23</v>
      </c>
      <c r="H84" s="322">
        <f>+IF(H2="SI",Tablas!H33,Tablas!G33)/30*30</f>
        <v>2360165.23</v>
      </c>
      <c r="I84" s="322">
        <f>+IF(I2="SI",Tablas!I33,Tablas!H33)/30*30</f>
        <v>2360165.23</v>
      </c>
      <c r="J84" s="322">
        <f>+IF(J2="SI",Tablas!J33,Tablas!I33)/30*30</f>
        <v>2360165.23</v>
      </c>
      <c r="K84" s="322">
        <f>+IF(K2="SI",Tablas!K33,Tablas!J33)/30*30</f>
        <v>2360165.23</v>
      </c>
      <c r="L84" s="322">
        <f>+IF(L2="SI",Tablas!L33,Tablas!K33)/30*30</f>
        <v>2360165.23</v>
      </c>
      <c r="M84" s="322">
        <f>+IF(M2="SI",Tablas!M33,Tablas!L33)/30*30</f>
        <v>2360165.23</v>
      </c>
      <c r="N84" s="322">
        <f>+IF(N2="SI",Tablas!N33,Tablas!M33)/30*30</f>
        <v>2360165.23</v>
      </c>
      <c r="O84" s="322">
        <f>+IF(O2="SI",Tablas!O33,Tablas!N33)/30*30</f>
        <v>2360165.23</v>
      </c>
      <c r="P84" s="323"/>
      <c r="Q84" s="319"/>
    </row>
    <row r="85" spans="1:67" ht="12.75" hidden="1" customHeight="1" x14ac:dyDescent="0.2">
      <c r="A85" s="720" t="s">
        <v>177</v>
      </c>
      <c r="B85" s="685"/>
      <c r="C85" s="685"/>
      <c r="D85" s="722">
        <f>+MIN(D83:D84)</f>
        <v>2200000</v>
      </c>
      <c r="E85" s="71">
        <f t="shared" ref="E85:O85" si="15">+MIN(E83:E84)</f>
        <v>2200000</v>
      </c>
      <c r="F85" s="71">
        <f t="shared" si="15"/>
        <v>2200000</v>
      </c>
      <c r="G85" s="71">
        <f t="shared" si="15"/>
        <v>2200000</v>
      </c>
      <c r="H85" s="71">
        <f t="shared" si="15"/>
        <v>2200000</v>
      </c>
      <c r="I85" s="71">
        <f t="shared" si="15"/>
        <v>2200000</v>
      </c>
      <c r="J85" s="71">
        <f t="shared" si="15"/>
        <v>2200000</v>
      </c>
      <c r="K85" s="71">
        <f t="shared" si="15"/>
        <v>2200000</v>
      </c>
      <c r="L85" s="71">
        <f t="shared" si="15"/>
        <v>2200000</v>
      </c>
      <c r="M85" s="71">
        <f t="shared" si="15"/>
        <v>2200000</v>
      </c>
      <c r="N85" s="71">
        <f t="shared" si="15"/>
        <v>2200000</v>
      </c>
      <c r="O85" s="71">
        <f t="shared" si="15"/>
        <v>2200000</v>
      </c>
      <c r="P85" s="323"/>
      <c r="Q85" s="319"/>
    </row>
    <row r="86" spans="1:67" ht="12.75" hidden="1" customHeight="1" x14ac:dyDescent="0.2">
      <c r="A86" s="661" t="s">
        <v>22</v>
      </c>
      <c r="B86" s="663"/>
      <c r="C86" s="723"/>
      <c r="D86" s="724">
        <f>+D$85*Tablas!D40</f>
        <v>242000</v>
      </c>
      <c r="E86" s="324">
        <f>+E$85*Tablas!E40</f>
        <v>242000</v>
      </c>
      <c r="F86" s="324">
        <f>+F$85*Tablas!F40</f>
        <v>242000</v>
      </c>
      <c r="G86" s="324">
        <f>+G$85*Tablas!G40</f>
        <v>242000</v>
      </c>
      <c r="H86" s="324">
        <f>+H$85*Tablas!H40</f>
        <v>242000</v>
      </c>
      <c r="I86" s="324">
        <f>+I$85*Tablas!I40</f>
        <v>242000</v>
      </c>
      <c r="J86" s="324">
        <f>+J$85*Tablas!J40</f>
        <v>242000</v>
      </c>
      <c r="K86" s="324">
        <f>+K$85*Tablas!K40</f>
        <v>242000</v>
      </c>
      <c r="L86" s="324">
        <f>+L$85*Tablas!L40</f>
        <v>242000</v>
      </c>
      <c r="M86" s="324">
        <f>+M$85*Tablas!M40</f>
        <v>242000</v>
      </c>
      <c r="N86" s="324">
        <f>+N$85*Tablas!N40</f>
        <v>242000</v>
      </c>
      <c r="O86" s="324">
        <f>+O$85*Tablas!O40</f>
        <v>242000</v>
      </c>
      <c r="P86" s="325"/>
      <c r="Q86" s="326"/>
    </row>
    <row r="87" spans="1:67" ht="12.75" hidden="1" customHeight="1" x14ac:dyDescent="0.2">
      <c r="A87" s="661" t="s">
        <v>23</v>
      </c>
      <c r="B87" s="663"/>
      <c r="C87" s="723"/>
      <c r="D87" s="724">
        <f>+D$85*Tablas!D41</f>
        <v>66000</v>
      </c>
      <c r="E87" s="324">
        <f>+E$85*Tablas!E41</f>
        <v>66000</v>
      </c>
      <c r="F87" s="324">
        <f>+F$85*Tablas!F41</f>
        <v>66000</v>
      </c>
      <c r="G87" s="324">
        <f>+G$85*Tablas!G41</f>
        <v>66000</v>
      </c>
      <c r="H87" s="324">
        <f>+H$85*Tablas!H41</f>
        <v>66000</v>
      </c>
      <c r="I87" s="324">
        <f>+I$85*Tablas!I41</f>
        <v>66000</v>
      </c>
      <c r="J87" s="324">
        <f>+J$85*Tablas!J41</f>
        <v>66000</v>
      </c>
      <c r="K87" s="324">
        <f>+K$85*Tablas!K41</f>
        <v>66000</v>
      </c>
      <c r="L87" s="324">
        <f>+L$85*Tablas!L41</f>
        <v>66000</v>
      </c>
      <c r="M87" s="324">
        <f>+M$85*Tablas!M41</f>
        <v>66000</v>
      </c>
      <c r="N87" s="324">
        <f>+N$85*Tablas!N41</f>
        <v>66000</v>
      </c>
      <c r="O87" s="324">
        <f>+O$85*Tablas!O41</f>
        <v>66000</v>
      </c>
      <c r="P87" s="325"/>
      <c r="Q87" s="326"/>
    </row>
    <row r="88" spans="1:67" ht="12.75" hidden="1" customHeight="1" x14ac:dyDescent="0.2">
      <c r="A88" s="661" t="s">
        <v>24</v>
      </c>
      <c r="B88" s="663"/>
      <c r="C88" s="723"/>
      <c r="D88" s="724">
        <f>+D$85*Tablas!D42</f>
        <v>66000</v>
      </c>
      <c r="E88" s="324">
        <f>+E$85*Tablas!E42</f>
        <v>66000</v>
      </c>
      <c r="F88" s="324">
        <f>+F$85*Tablas!F42</f>
        <v>66000</v>
      </c>
      <c r="G88" s="324">
        <f>+G$85*Tablas!G42</f>
        <v>66000</v>
      </c>
      <c r="H88" s="324">
        <f>+H$85*Tablas!H42</f>
        <v>66000</v>
      </c>
      <c r="I88" s="324">
        <f>+I$85*Tablas!I42</f>
        <v>66000</v>
      </c>
      <c r="J88" s="324">
        <f>+J$85*Tablas!J42</f>
        <v>66000</v>
      </c>
      <c r="K88" s="324">
        <f>+K$85*Tablas!K42</f>
        <v>66000</v>
      </c>
      <c r="L88" s="324">
        <f>+L$85*Tablas!L42</f>
        <v>66000</v>
      </c>
      <c r="M88" s="324">
        <f>+M$85*Tablas!M42</f>
        <v>66000</v>
      </c>
      <c r="N88" s="324">
        <f>+N$85*Tablas!N42</f>
        <v>66000</v>
      </c>
      <c r="O88" s="324">
        <f>+O$85*Tablas!O42</f>
        <v>66000</v>
      </c>
      <c r="P88" s="325"/>
      <c r="Q88" s="326"/>
    </row>
    <row r="89" spans="1:67" ht="12.75" hidden="1" customHeight="1" x14ac:dyDescent="0.2">
      <c r="A89" s="661" t="s">
        <v>25</v>
      </c>
      <c r="B89" s="663"/>
      <c r="C89" s="723"/>
      <c r="D89" s="724">
        <f>+D$83*Tablas!D43</f>
        <v>0</v>
      </c>
      <c r="E89" s="324">
        <f>+E$83*Tablas!E43</f>
        <v>0</v>
      </c>
      <c r="F89" s="324">
        <f>+F$83*Tablas!F43</f>
        <v>0</v>
      </c>
      <c r="G89" s="324">
        <f>+G$83*Tablas!G43</f>
        <v>0</v>
      </c>
      <c r="H89" s="324">
        <f>+H$83*Tablas!H43</f>
        <v>0</v>
      </c>
      <c r="I89" s="324">
        <f>+I$83*Tablas!I43</f>
        <v>0</v>
      </c>
      <c r="J89" s="324">
        <f>+J$83*Tablas!J43</f>
        <v>0</v>
      </c>
      <c r="K89" s="324">
        <f>+K$83*Tablas!K43</f>
        <v>0</v>
      </c>
      <c r="L89" s="324">
        <f>+L$83*Tablas!L43</f>
        <v>0</v>
      </c>
      <c r="M89" s="324">
        <f>+M$83*Tablas!M43</f>
        <v>0</v>
      </c>
      <c r="N89" s="324">
        <f>+N$83*Tablas!N43</f>
        <v>0</v>
      </c>
      <c r="O89" s="324">
        <f>+O$83*Tablas!O43</f>
        <v>0</v>
      </c>
      <c r="P89" s="325"/>
      <c r="Q89" s="326"/>
    </row>
    <row r="90" spans="1:67" ht="12.75" hidden="1" customHeight="1" x14ac:dyDescent="0.2">
      <c r="A90" s="661" t="s">
        <v>26</v>
      </c>
      <c r="B90" s="663"/>
      <c r="C90" s="723"/>
      <c r="D90" s="724">
        <v>0</v>
      </c>
      <c r="E90" s="261">
        <v>0</v>
      </c>
      <c r="F90" s="261">
        <v>0</v>
      </c>
      <c r="G90" s="261">
        <v>0</v>
      </c>
      <c r="H90" s="261">
        <v>0</v>
      </c>
      <c r="I90" s="261">
        <v>0</v>
      </c>
      <c r="J90" s="261">
        <v>0</v>
      </c>
      <c r="K90" s="261">
        <v>0</v>
      </c>
      <c r="L90" s="261">
        <v>0</v>
      </c>
      <c r="M90" s="261">
        <v>0</v>
      </c>
      <c r="N90" s="261">
        <v>0</v>
      </c>
      <c r="O90" s="261">
        <v>0</v>
      </c>
      <c r="P90" s="325"/>
      <c r="Q90" s="326"/>
    </row>
    <row r="91" spans="1:67" ht="18.600000000000001" customHeight="1" thickBot="1" x14ac:dyDescent="0.25">
      <c r="A91" s="769" t="s">
        <v>449</v>
      </c>
      <c r="B91" s="779"/>
      <c r="C91" s="780"/>
      <c r="D91" s="770">
        <f>SUM(D86:D90)</f>
        <v>374000</v>
      </c>
      <c r="E91" s="282">
        <f t="shared" ref="E91:O91" si="16">SUM(E86:E90)</f>
        <v>374000</v>
      </c>
      <c r="F91" s="282">
        <f t="shared" si="16"/>
        <v>374000</v>
      </c>
      <c r="G91" s="282">
        <f t="shared" si="16"/>
        <v>374000</v>
      </c>
      <c r="H91" s="282">
        <f t="shared" si="16"/>
        <v>374000</v>
      </c>
      <c r="I91" s="282">
        <f t="shared" si="16"/>
        <v>374000</v>
      </c>
      <c r="J91" s="282">
        <f t="shared" si="16"/>
        <v>374000</v>
      </c>
      <c r="K91" s="282">
        <f t="shared" si="16"/>
        <v>374000</v>
      </c>
      <c r="L91" s="282">
        <f t="shared" si="16"/>
        <v>374000</v>
      </c>
      <c r="M91" s="282">
        <f t="shared" si="16"/>
        <v>374000</v>
      </c>
      <c r="N91" s="282">
        <f t="shared" si="16"/>
        <v>374000</v>
      </c>
      <c r="O91" s="282">
        <f t="shared" si="16"/>
        <v>374000</v>
      </c>
      <c r="P91" s="325"/>
      <c r="Q91" s="326"/>
      <c r="BO91" s="778" t="s">
        <v>455</v>
      </c>
    </row>
    <row r="92" spans="1:67" ht="7.9" hidden="1" customHeight="1" x14ac:dyDescent="0.2">
      <c r="A92" s="715"/>
      <c r="B92" s="726"/>
      <c r="C92" s="727"/>
      <c r="D92" s="728"/>
      <c r="E92" s="328"/>
      <c r="F92" s="328"/>
      <c r="G92" s="328"/>
      <c r="H92" s="328"/>
      <c r="I92" s="328"/>
      <c r="J92" s="328"/>
      <c r="K92" s="328"/>
      <c r="L92" s="328"/>
      <c r="M92" s="328"/>
      <c r="N92" s="328"/>
      <c r="O92" s="328"/>
      <c r="P92" s="325"/>
      <c r="Q92" s="326"/>
    </row>
    <row r="93" spans="1:67" ht="16.899999999999999" hidden="1" customHeight="1" x14ac:dyDescent="0.2">
      <c r="A93" s="729" t="s">
        <v>243</v>
      </c>
      <c r="B93" s="730"/>
      <c r="C93" s="731">
        <f>SUM(C94:C96)</f>
        <v>17</v>
      </c>
      <c r="D93" s="732"/>
      <c r="E93" s="329"/>
      <c r="F93" s="329"/>
      <c r="G93" s="329"/>
      <c r="H93" s="329"/>
      <c r="I93" s="329"/>
      <c r="J93" s="329"/>
      <c r="K93" s="329"/>
      <c r="L93" s="329"/>
      <c r="M93" s="329"/>
      <c r="N93" s="329"/>
      <c r="O93" s="330"/>
      <c r="P93" s="331"/>
      <c r="Q93" s="326"/>
    </row>
    <row r="94" spans="1:67" ht="12.75" hidden="1" customHeight="1" x14ac:dyDescent="0.2">
      <c r="A94" s="673" t="s">
        <v>168</v>
      </c>
      <c r="B94" s="685"/>
      <c r="C94" s="733">
        <f>11+3</f>
        <v>14</v>
      </c>
      <c r="D94" s="665">
        <v>0</v>
      </c>
      <c r="E94" s="261">
        <v>0</v>
      </c>
      <c r="F94" s="261">
        <v>0</v>
      </c>
      <c r="G94" s="261">
        <v>0</v>
      </c>
      <c r="H94" s="261">
        <v>0</v>
      </c>
      <c r="I94" s="261">
        <v>0</v>
      </c>
      <c r="J94" s="261">
        <v>0</v>
      </c>
      <c r="K94" s="261">
        <v>0</v>
      </c>
      <c r="L94" s="261">
        <v>0</v>
      </c>
      <c r="M94" s="261">
        <v>0</v>
      </c>
      <c r="N94" s="261">
        <v>0</v>
      </c>
      <c r="O94" s="261">
        <v>0</v>
      </c>
      <c r="P94" s="325"/>
      <c r="Q94" s="326"/>
    </row>
    <row r="95" spans="1:67" ht="12.75" hidden="1" customHeight="1" x14ac:dyDescent="0.2">
      <c r="A95" s="673" t="s">
        <v>169</v>
      </c>
      <c r="B95" s="685"/>
      <c r="C95" s="733">
        <v>3</v>
      </c>
      <c r="D95" s="665">
        <v>0</v>
      </c>
      <c r="E95" s="261">
        <v>0</v>
      </c>
      <c r="F95" s="261">
        <v>0</v>
      </c>
      <c r="G95" s="261">
        <v>0</v>
      </c>
      <c r="H95" s="261">
        <v>0</v>
      </c>
      <c r="I95" s="261">
        <v>0</v>
      </c>
      <c r="J95" s="261">
        <v>0</v>
      </c>
      <c r="K95" s="261">
        <v>0</v>
      </c>
      <c r="L95" s="261">
        <v>0</v>
      </c>
      <c r="M95" s="261">
        <v>0</v>
      </c>
      <c r="N95" s="261">
        <v>0</v>
      </c>
      <c r="O95" s="261">
        <v>0</v>
      </c>
      <c r="P95" s="325"/>
      <c r="Q95" s="326"/>
    </row>
    <row r="96" spans="1:67" ht="12.75" hidden="1" customHeight="1" x14ac:dyDescent="0.2">
      <c r="A96" s="673" t="s">
        <v>170</v>
      </c>
      <c r="B96" s="685"/>
      <c r="C96" s="733">
        <v>0</v>
      </c>
      <c r="D96" s="665">
        <v>0</v>
      </c>
      <c r="E96" s="261">
        <v>0</v>
      </c>
      <c r="F96" s="261">
        <v>0</v>
      </c>
      <c r="G96" s="261">
        <v>0</v>
      </c>
      <c r="H96" s="261">
        <v>0</v>
      </c>
      <c r="I96" s="261">
        <v>0</v>
      </c>
      <c r="J96" s="261">
        <v>0</v>
      </c>
      <c r="K96" s="261">
        <v>0</v>
      </c>
      <c r="L96" s="261">
        <v>0</v>
      </c>
      <c r="M96" s="261">
        <v>0</v>
      </c>
      <c r="N96" s="261">
        <v>0</v>
      </c>
      <c r="O96" s="261">
        <v>0</v>
      </c>
      <c r="P96" s="325"/>
      <c r="Q96" s="326"/>
    </row>
    <row r="97" spans="1:22" ht="13.9" hidden="1" customHeight="1" x14ac:dyDescent="0.2">
      <c r="A97" s="734" t="s">
        <v>171</v>
      </c>
      <c r="B97" s="685"/>
      <c r="C97" s="723"/>
      <c r="D97" s="684">
        <f>SUM(D94:D96)</f>
        <v>0</v>
      </c>
      <c r="E97" s="279">
        <f t="shared" ref="E97:O97" si="17">SUM(E94:E96)</f>
        <v>0</v>
      </c>
      <c r="F97" s="279">
        <f t="shared" si="17"/>
        <v>0</v>
      </c>
      <c r="G97" s="279">
        <f t="shared" si="17"/>
        <v>0</v>
      </c>
      <c r="H97" s="279">
        <f t="shared" si="17"/>
        <v>0</v>
      </c>
      <c r="I97" s="279">
        <f t="shared" si="17"/>
        <v>0</v>
      </c>
      <c r="J97" s="279">
        <f t="shared" si="17"/>
        <v>0</v>
      </c>
      <c r="K97" s="279">
        <f t="shared" si="17"/>
        <v>0</v>
      </c>
      <c r="L97" s="279">
        <f t="shared" si="17"/>
        <v>0</v>
      </c>
      <c r="M97" s="279">
        <f t="shared" si="17"/>
        <v>0</v>
      </c>
      <c r="N97" s="279">
        <f t="shared" si="17"/>
        <v>0</v>
      </c>
      <c r="O97" s="279">
        <f t="shared" si="17"/>
        <v>0</v>
      </c>
      <c r="P97" s="325"/>
      <c r="Q97" s="326"/>
    </row>
    <row r="98" spans="1:22" ht="18" hidden="1" customHeight="1" x14ac:dyDescent="0.2">
      <c r="A98" s="686" t="s">
        <v>66</v>
      </c>
      <c r="B98" s="725"/>
      <c r="C98" s="663"/>
      <c r="D98" s="735">
        <f>+D91+D97</f>
        <v>374000</v>
      </c>
      <c r="E98" s="334">
        <f t="shared" ref="E98:O98" si="18">+E91+E97</f>
        <v>374000</v>
      </c>
      <c r="F98" s="334">
        <f t="shared" si="18"/>
        <v>374000</v>
      </c>
      <c r="G98" s="334">
        <f t="shared" si="18"/>
        <v>374000</v>
      </c>
      <c r="H98" s="334">
        <f t="shared" si="18"/>
        <v>374000</v>
      </c>
      <c r="I98" s="334">
        <f t="shared" si="18"/>
        <v>374000</v>
      </c>
      <c r="J98" s="334">
        <f t="shared" si="18"/>
        <v>374000</v>
      </c>
      <c r="K98" s="334">
        <f t="shared" si="18"/>
        <v>374000</v>
      </c>
      <c r="L98" s="334">
        <f t="shared" si="18"/>
        <v>374000</v>
      </c>
      <c r="M98" s="334">
        <f t="shared" si="18"/>
        <v>374000</v>
      </c>
      <c r="N98" s="334">
        <f t="shared" si="18"/>
        <v>374000</v>
      </c>
      <c r="O98" s="334">
        <f t="shared" si="18"/>
        <v>374000</v>
      </c>
      <c r="P98" s="335"/>
      <c r="Q98" s="336"/>
    </row>
    <row r="99" spans="1:22" ht="6" hidden="1" customHeight="1" x14ac:dyDescent="0.2">
      <c r="A99" s="736"/>
      <c r="B99" s="737"/>
      <c r="C99" s="737"/>
      <c r="D99" s="738"/>
      <c r="E99" s="337"/>
      <c r="F99" s="337"/>
      <c r="G99" s="337"/>
      <c r="H99" s="337"/>
      <c r="I99" s="337"/>
      <c r="J99" s="337"/>
      <c r="K99" s="338"/>
      <c r="L99" s="337"/>
      <c r="M99" s="337"/>
      <c r="N99" s="337"/>
      <c r="O99" s="337"/>
      <c r="P99" s="339"/>
      <c r="Q99" s="340"/>
    </row>
    <row r="100" spans="1:22" ht="17.45" hidden="1" customHeight="1" x14ac:dyDescent="0.2">
      <c r="A100" s="739" t="s">
        <v>172</v>
      </c>
      <c r="B100" s="740"/>
      <c r="C100" s="740"/>
      <c r="D100" s="741"/>
      <c r="E100" s="341"/>
      <c r="F100" s="341"/>
      <c r="G100" s="341"/>
      <c r="H100" s="341"/>
      <c r="I100" s="341"/>
      <c r="J100" s="341"/>
      <c r="K100" s="341"/>
      <c r="L100" s="341"/>
      <c r="M100" s="341"/>
      <c r="N100" s="341"/>
      <c r="O100" s="342"/>
      <c r="P100" s="343"/>
      <c r="Q100" s="344"/>
      <c r="R100" s="255"/>
      <c r="U100" s="86"/>
      <c r="V100" s="86"/>
    </row>
    <row r="101" spans="1:22" ht="12.75" hidden="1" customHeight="1" x14ac:dyDescent="0.2">
      <c r="A101" s="742" t="s">
        <v>454</v>
      </c>
      <c r="B101" s="743" t="s">
        <v>201</v>
      </c>
      <c r="C101" s="743"/>
      <c r="D101" s="665">
        <f t="shared" ref="D101:N101" si="19">IF(D2="SI",SUMIFS(D7:D37,$C7:$C37,"R",$B7:$B37,"H")+D360,SUMIFS(E7:E37,$C7:$C37,"R",$B7:$B37,"H")+E360)</f>
        <v>2200000</v>
      </c>
      <c r="E101" s="345">
        <f t="shared" si="19"/>
        <v>2200000</v>
      </c>
      <c r="F101" s="345">
        <f t="shared" si="19"/>
        <v>2200000</v>
      </c>
      <c r="G101" s="345">
        <f t="shared" si="19"/>
        <v>2200000</v>
      </c>
      <c r="H101" s="345">
        <f t="shared" si="19"/>
        <v>2200000</v>
      </c>
      <c r="I101" s="345">
        <f t="shared" si="19"/>
        <v>2200000</v>
      </c>
      <c r="J101" s="345">
        <f t="shared" si="19"/>
        <v>2200000</v>
      </c>
      <c r="K101" s="345">
        <f t="shared" si="19"/>
        <v>2200000</v>
      </c>
      <c r="L101" s="345">
        <f t="shared" si="19"/>
        <v>2200000</v>
      </c>
      <c r="M101" s="345">
        <f t="shared" si="19"/>
        <v>2200000</v>
      </c>
      <c r="N101" s="345">
        <f t="shared" si="19"/>
        <v>2200000</v>
      </c>
      <c r="O101" s="345">
        <f>IF(O2="SI",SUMIFS(O7:O37,$C7:$C37,"R",$B7:$B37,"H")+O360,0)</f>
        <v>2200000</v>
      </c>
      <c r="P101" s="346"/>
      <c r="Q101" s="344"/>
      <c r="R101" s="255"/>
      <c r="U101" s="86"/>
      <c r="V101" s="86"/>
    </row>
    <row r="102" spans="1:22" ht="12.75" hidden="1" customHeight="1" x14ac:dyDescent="0.2">
      <c r="A102" s="744"/>
      <c r="B102" s="745"/>
      <c r="C102" s="745"/>
      <c r="D102" s="746"/>
      <c r="E102" s="348"/>
      <c r="F102" s="348"/>
      <c r="G102" s="348"/>
      <c r="H102" s="348"/>
      <c r="I102" s="348"/>
      <c r="J102" s="348"/>
      <c r="K102" s="348"/>
      <c r="L102" s="348"/>
      <c r="M102" s="348"/>
      <c r="N102" s="348"/>
      <c r="O102" s="348"/>
      <c r="P102" s="343"/>
      <c r="Q102" s="344"/>
      <c r="R102" s="255"/>
      <c r="U102" s="86"/>
      <c r="V102" s="86"/>
    </row>
    <row r="103" spans="1:22" ht="12.75" hidden="1" customHeight="1" x14ac:dyDescent="0.2">
      <c r="A103" s="744" t="s">
        <v>174</v>
      </c>
      <c r="B103" s="745"/>
      <c r="C103" s="745"/>
      <c r="D103" s="665">
        <v>0</v>
      </c>
      <c r="E103" s="261">
        <v>0</v>
      </c>
      <c r="F103" s="261">
        <v>0</v>
      </c>
      <c r="G103" s="261">
        <v>0</v>
      </c>
      <c r="H103" s="261">
        <v>0</v>
      </c>
      <c r="I103" s="261">
        <f>+MAX($D101:I101)/2*180/180-I104</f>
        <v>1100000</v>
      </c>
      <c r="J103" s="261">
        <v>0</v>
      </c>
      <c r="K103" s="261">
        <v>0</v>
      </c>
      <c r="L103" s="261">
        <v>0</v>
      </c>
      <c r="M103" s="261">
        <v>0</v>
      </c>
      <c r="N103" s="261">
        <v>0</v>
      </c>
      <c r="O103" s="261">
        <f>+MAX($J101:O101)/2*180/180-O104</f>
        <v>1100000</v>
      </c>
      <c r="P103" s="350">
        <f>SUM(D103:O103)</f>
        <v>2200000</v>
      </c>
      <c r="Q103" s="351" t="s">
        <v>407</v>
      </c>
      <c r="R103" s="352">
        <f>+IF(O76&gt;Tablas!O35,SUM($D103:$O104),MAX(I103+I104-Tablas!I35/2,0)+MAX(O103+O104-Tablas!O35/2,0))</f>
        <v>2200000</v>
      </c>
      <c r="S103" s="353"/>
      <c r="T103" s="354">
        <f>+MAX($D101:I101)/2*180/180-T104</f>
        <v>1100000</v>
      </c>
      <c r="U103" s="87" t="s">
        <v>248</v>
      </c>
      <c r="V103" s="89"/>
    </row>
    <row r="104" spans="1:22" s="272" customFormat="1" ht="12.75" hidden="1" customHeight="1" x14ac:dyDescent="0.2">
      <c r="A104" s="747" t="s">
        <v>175</v>
      </c>
      <c r="B104" s="748"/>
      <c r="C104" s="749"/>
      <c r="D104" s="671">
        <v>0</v>
      </c>
      <c r="E104" s="268">
        <v>0</v>
      </c>
      <c r="F104" s="268">
        <v>0</v>
      </c>
      <c r="G104" s="268">
        <v>0</v>
      </c>
      <c r="H104" s="268">
        <v>0</v>
      </c>
      <c r="I104" s="268">
        <f>+IF(I76&lt;=Tablas!$I$35,MIN(Tablas!$I$35*0.5/180*180,MAX($D101:I101)/2*180/180),0)</f>
        <v>0</v>
      </c>
      <c r="J104" s="268">
        <v>0</v>
      </c>
      <c r="K104" s="268">
        <v>0</v>
      </c>
      <c r="L104" s="268">
        <v>0</v>
      </c>
      <c r="M104" s="268">
        <v>0</v>
      </c>
      <c r="N104" s="268">
        <v>0</v>
      </c>
      <c r="O104" s="268">
        <f>+IF(O76&lt;=Tablas!$O$35,MIN(Tablas!$O$35*0.5/180*180,MAX($J101:O101)/2*180/180),0)</f>
        <v>0</v>
      </c>
      <c r="P104" s="355"/>
      <c r="Q104" s="356">
        <f>+SUM(D103:O104)-P103</f>
        <v>0</v>
      </c>
      <c r="R104" s="271"/>
      <c r="S104" s="357" t="s">
        <v>408</v>
      </c>
      <c r="T104" s="358">
        <f>IF(I76&lt;=Tablas!$I$35,MIN(Tablas!$I$35*0.5/180*180,MAX($D101:I101)/2*180/180),0)</f>
        <v>0</v>
      </c>
      <c r="U104" s="129" t="s">
        <v>249</v>
      </c>
      <c r="V104" s="129" t="s">
        <v>247</v>
      </c>
    </row>
    <row r="105" spans="1:22" ht="12.75" hidden="1" customHeight="1" x14ac:dyDescent="0.2">
      <c r="A105" s="744" t="s">
        <v>22</v>
      </c>
      <c r="B105" s="745"/>
      <c r="C105" s="750"/>
      <c r="D105" s="665">
        <f>+MIN((SUM(D$103:D$104)*Tablas!D40),Tablas!D$33*0.5*Tablas!D40)</f>
        <v>0</v>
      </c>
      <c r="E105" s="261">
        <f>+MIN((SUM(E$103:E$104)*Tablas!E40),Tablas!E$33*0.5*Tablas!E40)</f>
        <v>0</v>
      </c>
      <c r="F105" s="261">
        <f>+MIN((SUM(F$103:F$104)*Tablas!F40),Tablas!F$33*0.5*Tablas!F40)</f>
        <v>0</v>
      </c>
      <c r="G105" s="261">
        <f>+MIN((SUM(G$103:G$104)*Tablas!G40),Tablas!G$33*0.5*Tablas!G40)</f>
        <v>0</v>
      </c>
      <c r="H105" s="261">
        <f>+MIN((SUM(H$103:H$104)*Tablas!H40),Tablas!H$33*0.5*Tablas!H40)</f>
        <v>0</v>
      </c>
      <c r="I105" s="261">
        <f>+MIN((SUM(I$103:I$104)*Tablas!I40),Tablas!I$33*0.5*Tablas!I40)</f>
        <v>121000</v>
      </c>
      <c r="J105" s="261">
        <f>+MIN((SUM(J$103:J$104)*Tablas!J40),Tablas!J$33*0.5*Tablas!J40)</f>
        <v>0</v>
      </c>
      <c r="K105" s="261">
        <f>+MIN((SUM(K$103:K$104)*Tablas!K40),Tablas!K$33*0.5*Tablas!K40)</f>
        <v>0</v>
      </c>
      <c r="L105" s="261">
        <f>+MIN((SUM(L$103:L$104)*Tablas!L40),Tablas!L$33*0.5*Tablas!L40)</f>
        <v>0</v>
      </c>
      <c r="M105" s="261">
        <f>+MIN((SUM(M$103:M$104)*Tablas!M40),Tablas!M$33*0.5*Tablas!M40)</f>
        <v>0</v>
      </c>
      <c r="N105" s="261">
        <f>+MIN((SUM(N$103:N$104)*Tablas!N40),Tablas!N$33*0.5*Tablas!N40)</f>
        <v>0</v>
      </c>
      <c r="O105" s="261">
        <f>+MIN((SUM(O$103:O$104)*Tablas!O40),Tablas!O$33*0.5*Tablas!O40)</f>
        <v>121000</v>
      </c>
      <c r="P105" s="325">
        <f>+SUM(D105:O105)/SUM($D$103:$O$104)*$P$103</f>
        <v>242000</v>
      </c>
      <c r="Q105" s="326"/>
      <c r="R105" s="255"/>
      <c r="T105" s="359">
        <f>+O103</f>
        <v>1100000</v>
      </c>
      <c r="U105" s="86" t="s">
        <v>250</v>
      </c>
      <c r="V105" s="86"/>
    </row>
    <row r="106" spans="1:22" ht="12.75" hidden="1" customHeight="1" x14ac:dyDescent="0.2">
      <c r="A106" s="744" t="s">
        <v>23</v>
      </c>
      <c r="B106" s="745"/>
      <c r="C106" s="750"/>
      <c r="D106" s="665">
        <f>+MIN((SUM(D$103:D$104)*Tablas!D41),Tablas!D$33*0.5*Tablas!D41)</f>
        <v>0</v>
      </c>
      <c r="E106" s="261">
        <f>+MIN((SUM(E$103:E$104)*Tablas!E41),Tablas!E$33*0.5*Tablas!E41)</f>
        <v>0</v>
      </c>
      <c r="F106" s="261">
        <f>+MIN((SUM(F$103:F$104)*Tablas!F41),Tablas!F$33*0.5*Tablas!F41)</f>
        <v>0</v>
      </c>
      <c r="G106" s="261">
        <f>+MIN((SUM(G$103:G$104)*Tablas!G41),Tablas!G$33*0.5*Tablas!G41)</f>
        <v>0</v>
      </c>
      <c r="H106" s="261">
        <f>+MIN((SUM(H$103:H$104)*Tablas!H41),Tablas!H$33*0.5*Tablas!H41)</f>
        <v>0</v>
      </c>
      <c r="I106" s="261">
        <f>+MIN((SUM(I$103:I$104)*Tablas!I41),Tablas!I$33*0.5*Tablas!I41)</f>
        <v>33000</v>
      </c>
      <c r="J106" s="261">
        <f>+MIN((SUM(J$103:J$104)*Tablas!J41),Tablas!J$33*0.5*Tablas!J41)</f>
        <v>0</v>
      </c>
      <c r="K106" s="261">
        <f>+MIN((SUM(K$103:K$104)*Tablas!K41),Tablas!K$33*0.5*Tablas!K41)</f>
        <v>0</v>
      </c>
      <c r="L106" s="261">
        <f>+MIN((SUM(L$103:L$104)*Tablas!L41),Tablas!L$33*0.5*Tablas!L41)</f>
        <v>0</v>
      </c>
      <c r="M106" s="261">
        <f>+MIN((SUM(M$103:M$104)*Tablas!M41),Tablas!M$33*0.5*Tablas!M41)</f>
        <v>0</v>
      </c>
      <c r="N106" s="261">
        <f>+MIN((SUM(N$103:N$104)*Tablas!N41),Tablas!N$33*0.5*Tablas!N41)</f>
        <v>0</v>
      </c>
      <c r="O106" s="261">
        <f>+MIN((SUM(O$103:O$104)*Tablas!O41),Tablas!O$33*0.5*Tablas!O41)</f>
        <v>33000</v>
      </c>
      <c r="P106" s="325">
        <f>+SUM(D106:O106)/SUM($D$103:$O$104)*$P$103</f>
        <v>66000</v>
      </c>
      <c r="Q106" s="326"/>
      <c r="R106" s="255"/>
      <c r="T106" s="359">
        <f>+O104</f>
        <v>0</v>
      </c>
      <c r="U106" s="129" t="s">
        <v>251</v>
      </c>
      <c r="V106" s="129" t="s">
        <v>247</v>
      </c>
    </row>
    <row r="107" spans="1:22" ht="12.75" hidden="1" customHeight="1" x14ac:dyDescent="0.2">
      <c r="A107" s="744" t="s">
        <v>24</v>
      </c>
      <c r="B107" s="745"/>
      <c r="C107" s="750"/>
      <c r="D107" s="665">
        <f>+MIN((SUM(D$103:D$104)*Tablas!D42),Tablas!D$33*0.5*Tablas!D42)</f>
        <v>0</v>
      </c>
      <c r="E107" s="261">
        <f>+MIN((SUM(E$103:E$104)*Tablas!E42),Tablas!E$33*0.5*Tablas!E42)</f>
        <v>0</v>
      </c>
      <c r="F107" s="261">
        <f>+MIN((SUM(F$103:F$104)*Tablas!F42),Tablas!F$33*0.5*Tablas!F42)</f>
        <v>0</v>
      </c>
      <c r="G107" s="261">
        <f>+MIN((SUM(G$103:G$104)*Tablas!G42),Tablas!G$33*0.5*Tablas!G42)</f>
        <v>0</v>
      </c>
      <c r="H107" s="261">
        <f>+MIN((SUM(H$103:H$104)*Tablas!H42),Tablas!H$33*0.5*Tablas!H42)</f>
        <v>0</v>
      </c>
      <c r="I107" s="261">
        <f>+MIN((SUM(I$103:I$104)*Tablas!I42),Tablas!I$33*0.5*Tablas!I42)</f>
        <v>33000</v>
      </c>
      <c r="J107" s="261">
        <f>+MIN((SUM(J$103:J$104)*Tablas!J42),Tablas!J$33*0.5*Tablas!J42)</f>
        <v>0</v>
      </c>
      <c r="K107" s="261">
        <f>+MIN((SUM(K$103:K$104)*Tablas!K42),Tablas!K$33*0.5*Tablas!K42)</f>
        <v>0</v>
      </c>
      <c r="L107" s="261">
        <f>+MIN((SUM(L$103:L$104)*Tablas!L42),Tablas!L$33*0.5*Tablas!L42)</f>
        <v>0</v>
      </c>
      <c r="M107" s="261">
        <f>+MIN((SUM(M$103:M$104)*Tablas!M42),Tablas!M$33*0.5*Tablas!M42)</f>
        <v>0</v>
      </c>
      <c r="N107" s="261">
        <f>+MIN((SUM(N$103:N$104)*Tablas!N42),Tablas!N$33*0.5*Tablas!N42)</f>
        <v>0</v>
      </c>
      <c r="O107" s="261">
        <f>+MIN((SUM(O$103:O$104)*Tablas!O42),Tablas!O$33*0.5*Tablas!O42)</f>
        <v>33000</v>
      </c>
      <c r="P107" s="325">
        <f>+SUM(D107:O107)/SUM($D$103:$O$104)*$P$103</f>
        <v>66000</v>
      </c>
      <c r="Q107" s="326"/>
      <c r="R107" s="255"/>
      <c r="T107" s="360"/>
      <c r="U107" s="86"/>
      <c r="V107" s="86"/>
    </row>
    <row r="108" spans="1:22" ht="12.75" hidden="1" customHeight="1" x14ac:dyDescent="0.2">
      <c r="A108" s="744" t="str">
        <f>+A89</f>
        <v>Sindicato</v>
      </c>
      <c r="B108" s="745"/>
      <c r="C108" s="750"/>
      <c r="D108" s="665">
        <f>+SUM(D$103:D$104)*Tablas!D43</f>
        <v>0</v>
      </c>
      <c r="E108" s="261">
        <f>+SUM(E$103:E$104)*Tablas!E43</f>
        <v>0</v>
      </c>
      <c r="F108" s="261">
        <f>+SUM(F$103:F$104)*Tablas!F43</f>
        <v>0</v>
      </c>
      <c r="G108" s="261">
        <f>+SUM(G$103:G$104)*Tablas!G43</f>
        <v>0</v>
      </c>
      <c r="H108" s="261">
        <f>+SUM(H$103:H$104)*Tablas!H43</f>
        <v>0</v>
      </c>
      <c r="I108" s="261">
        <f>+SUM(I$103:I$104)*Tablas!I43</f>
        <v>0</v>
      </c>
      <c r="J108" s="261">
        <f>+SUM(J$103:J$104)*Tablas!J43</f>
        <v>0</v>
      </c>
      <c r="K108" s="261">
        <f>+SUM(K$103:K$104)*Tablas!K43</f>
        <v>0</v>
      </c>
      <c r="L108" s="261">
        <f>+SUM(L$103:L$104)*Tablas!L43</f>
        <v>0</v>
      </c>
      <c r="M108" s="261">
        <f>+SUM(M$103:M$104)*Tablas!M43</f>
        <v>0</v>
      </c>
      <c r="N108" s="261">
        <f>+SUM(N$103:N$104)*Tablas!N43</f>
        <v>0</v>
      </c>
      <c r="O108" s="261">
        <f>+SUM(O$103:O$104)*Tablas!O43</f>
        <v>0</v>
      </c>
      <c r="P108" s="325">
        <f t="shared" ref="P108:P109" si="20">+SUM(D108:O108)/SUM($D$103:$O$104)*$P$103</f>
        <v>0</v>
      </c>
      <c r="Q108" s="326"/>
      <c r="R108" s="255"/>
      <c r="T108" s="360"/>
      <c r="U108" s="86"/>
      <c r="V108" s="86"/>
    </row>
    <row r="109" spans="1:22" ht="12.75" hidden="1" customHeight="1" x14ac:dyDescent="0.2">
      <c r="A109" s="744" t="str">
        <f>+A90</f>
        <v>Otros descuentos (x Ej: importes fijos)</v>
      </c>
      <c r="B109" s="745"/>
      <c r="C109" s="751"/>
      <c r="D109" s="665">
        <v>0</v>
      </c>
      <c r="E109" s="261">
        <v>0</v>
      </c>
      <c r="F109" s="261">
        <v>0</v>
      </c>
      <c r="G109" s="261">
        <v>0</v>
      </c>
      <c r="H109" s="261">
        <v>0</v>
      </c>
      <c r="I109" s="261">
        <v>0</v>
      </c>
      <c r="J109" s="261">
        <v>0</v>
      </c>
      <c r="K109" s="261">
        <v>0</v>
      </c>
      <c r="L109" s="261">
        <v>0</v>
      </c>
      <c r="M109" s="261">
        <v>0</v>
      </c>
      <c r="N109" s="261">
        <v>0</v>
      </c>
      <c r="O109" s="261">
        <v>0</v>
      </c>
      <c r="P109" s="325">
        <f t="shared" si="20"/>
        <v>0</v>
      </c>
      <c r="Q109" s="326"/>
      <c r="R109" s="255"/>
      <c r="T109" s="360"/>
      <c r="U109" s="86"/>
      <c r="V109" s="86"/>
    </row>
    <row r="110" spans="1:22" ht="12.75" hidden="1" customHeight="1" x14ac:dyDescent="0.2">
      <c r="A110" s="752" t="s">
        <v>238</v>
      </c>
      <c r="B110" s="753"/>
      <c r="C110" s="754"/>
      <c r="D110" s="755">
        <f t="shared" ref="D110:O110" si="21">+SUM(D103:D104)-SUM(D105:D109)</f>
        <v>0</v>
      </c>
      <c r="E110" s="361">
        <f t="shared" si="21"/>
        <v>0</v>
      </c>
      <c r="F110" s="361">
        <f t="shared" si="21"/>
        <v>0</v>
      </c>
      <c r="G110" s="361">
        <f t="shared" si="21"/>
        <v>0</v>
      </c>
      <c r="H110" s="361">
        <f t="shared" si="21"/>
        <v>0</v>
      </c>
      <c r="I110" s="361">
        <f t="shared" si="21"/>
        <v>913000</v>
      </c>
      <c r="J110" s="361">
        <f t="shared" si="21"/>
        <v>0</v>
      </c>
      <c r="K110" s="361">
        <f t="shared" si="21"/>
        <v>0</v>
      </c>
      <c r="L110" s="361">
        <f t="shared" si="21"/>
        <v>0</v>
      </c>
      <c r="M110" s="361">
        <f t="shared" si="21"/>
        <v>0</v>
      </c>
      <c r="N110" s="361">
        <f t="shared" si="21"/>
        <v>0</v>
      </c>
      <c r="O110" s="362">
        <f t="shared" si="21"/>
        <v>913000</v>
      </c>
      <c r="P110" s="363">
        <f>+P103-SUM(P105:P109)</f>
        <v>1826000</v>
      </c>
      <c r="Q110" s="344"/>
      <c r="R110" s="255"/>
      <c r="T110" s="360"/>
      <c r="U110" s="86"/>
      <c r="V110" s="86"/>
    </row>
    <row r="111" spans="1:22" ht="18" customHeight="1" thickTop="1" x14ac:dyDescent="0.2">
      <c r="A111" s="661" t="s">
        <v>451</v>
      </c>
      <c r="B111" s="663"/>
      <c r="C111" s="756"/>
      <c r="D111" s="687">
        <f>D7-D91</f>
        <v>1826000</v>
      </c>
      <c r="E111" s="282">
        <f t="shared" ref="E111:O111" si="22">E7-E91</f>
        <v>1826000</v>
      </c>
      <c r="F111" s="282">
        <f t="shared" si="22"/>
        <v>1826000</v>
      </c>
      <c r="G111" s="282">
        <f t="shared" si="22"/>
        <v>1826000</v>
      </c>
      <c r="H111" s="282">
        <f t="shared" si="22"/>
        <v>1826000</v>
      </c>
      <c r="I111" s="282">
        <f t="shared" si="22"/>
        <v>1826000</v>
      </c>
      <c r="J111" s="282">
        <f t="shared" si="22"/>
        <v>1826000</v>
      </c>
      <c r="K111" s="282">
        <f t="shared" si="22"/>
        <v>1826000</v>
      </c>
      <c r="L111" s="282">
        <f t="shared" si="22"/>
        <v>1826000</v>
      </c>
      <c r="M111" s="282">
        <f t="shared" si="22"/>
        <v>1826000</v>
      </c>
      <c r="N111" s="282">
        <f t="shared" si="22"/>
        <v>1826000</v>
      </c>
      <c r="O111" s="282">
        <f t="shared" si="22"/>
        <v>1826000</v>
      </c>
      <c r="P111" s="365"/>
      <c r="Q111" s="326"/>
      <c r="R111" s="255"/>
      <c r="S111" s="366" t="s">
        <v>408</v>
      </c>
      <c r="T111" s="354">
        <f>IF(I76&gt;Tablas!$I$35,SUM(D113:I113),MAX(I113-Tablas!$I$35/2,0))</f>
        <v>0</v>
      </c>
      <c r="U111" s="86" t="s">
        <v>252</v>
      </c>
      <c r="V111" s="86"/>
    </row>
    <row r="112" spans="1:22" ht="16.149999999999999" hidden="1" customHeight="1" x14ac:dyDescent="0.2">
      <c r="A112" s="757" t="s">
        <v>173</v>
      </c>
      <c r="B112" s="758"/>
      <c r="C112" s="758"/>
      <c r="D112" s="759"/>
      <c r="E112" s="367"/>
      <c r="F112" s="367"/>
      <c r="G112" s="367"/>
      <c r="H112" s="367"/>
      <c r="I112" s="367"/>
      <c r="J112" s="367"/>
      <c r="K112" s="367"/>
      <c r="L112" s="367"/>
      <c r="M112" s="367"/>
      <c r="N112" s="367"/>
      <c r="O112" s="367"/>
      <c r="P112" s="365"/>
      <c r="Q112" s="326"/>
      <c r="R112" s="255"/>
      <c r="T112" s="354">
        <f>+SUM(D113:I113)-T111</f>
        <v>0</v>
      </c>
      <c r="U112" s="129" t="s">
        <v>254</v>
      </c>
      <c r="V112" s="129" t="s">
        <v>247</v>
      </c>
    </row>
    <row r="113" spans="1:22" ht="12.75" hidden="1" customHeight="1" x14ac:dyDescent="0.2">
      <c r="A113" s="661" t="s">
        <v>176</v>
      </c>
      <c r="B113" s="663"/>
      <c r="C113" s="756"/>
      <c r="D113" s="760">
        <v>0</v>
      </c>
      <c r="E113" s="368">
        <v>0</v>
      </c>
      <c r="F113" s="368">
        <v>0</v>
      </c>
      <c r="G113" s="368">
        <v>0</v>
      </c>
      <c r="H113" s="368">
        <v>0</v>
      </c>
      <c r="I113" s="368">
        <v>0</v>
      </c>
      <c r="J113" s="368">
        <v>0</v>
      </c>
      <c r="K113" s="368">
        <v>0</v>
      </c>
      <c r="L113" s="368">
        <v>0</v>
      </c>
      <c r="M113" s="368">
        <v>0</v>
      </c>
      <c r="N113" s="368">
        <v>0</v>
      </c>
      <c r="O113" s="368">
        <v>0</v>
      </c>
      <c r="P113" s="282">
        <f>+T111+T113</f>
        <v>0</v>
      </c>
      <c r="Q113" s="108">
        <f>+SUM(D113:O113)-P113</f>
        <v>0</v>
      </c>
      <c r="R113" s="369" t="s">
        <v>376</v>
      </c>
      <c r="T113" s="354">
        <f>+IF(O76&gt;Tablas!$O$35,SUM(J113:O113),MAX(O113-Tablas!$O$35/2,0))</f>
        <v>0</v>
      </c>
      <c r="U113" s="86" t="s">
        <v>253</v>
      </c>
      <c r="V113" s="86"/>
    </row>
    <row r="114" spans="1:22" s="374" customFormat="1" ht="11.45" hidden="1" customHeight="1" x14ac:dyDescent="0.2">
      <c r="A114" s="761"/>
      <c r="B114" s="762"/>
      <c r="C114" s="763"/>
      <c r="D114" s="764"/>
      <c r="E114" s="370"/>
      <c r="F114" s="370"/>
      <c r="G114" s="370"/>
      <c r="H114" s="370"/>
      <c r="I114" s="370"/>
      <c r="J114" s="370"/>
      <c r="K114" s="370"/>
      <c r="L114" s="370"/>
      <c r="M114" s="370"/>
      <c r="N114" s="370"/>
      <c r="O114" s="370"/>
      <c r="P114" s="371"/>
      <c r="Q114" s="372"/>
      <c r="R114" s="373"/>
      <c r="T114" s="354">
        <f>+SUM(J113:O113)-T113</f>
        <v>0</v>
      </c>
      <c r="U114" s="129" t="s">
        <v>255</v>
      </c>
      <c r="V114" s="129" t="s">
        <v>247</v>
      </c>
    </row>
    <row r="115" spans="1:22" ht="6" hidden="1" customHeight="1" x14ac:dyDescent="0.2">
      <c r="A115" s="765"/>
      <c r="B115" s="766"/>
      <c r="C115" s="767"/>
      <c r="D115" s="768"/>
      <c r="E115" s="375"/>
      <c r="F115" s="375"/>
      <c r="G115" s="375"/>
      <c r="H115" s="375"/>
      <c r="I115" s="375"/>
      <c r="J115" s="375"/>
      <c r="K115" s="375"/>
      <c r="L115" s="375"/>
      <c r="M115" s="375"/>
      <c r="N115" s="375"/>
      <c r="O115" s="375"/>
      <c r="P115" s="376"/>
      <c r="Q115" s="377"/>
      <c r="R115" s="255"/>
      <c r="U115" s="86"/>
      <c r="V115" s="86"/>
    </row>
    <row r="116" spans="1:22" ht="19.149999999999999" customHeight="1" thickBot="1" x14ac:dyDescent="0.25">
      <c r="A116" s="781" t="s">
        <v>452</v>
      </c>
      <c r="B116" s="782"/>
      <c r="C116" s="783"/>
      <c r="D116" s="784">
        <f>D295</f>
        <v>34949.95937500002</v>
      </c>
      <c r="E116" s="378">
        <f t="shared" ref="E116:O116" si="23">E295</f>
        <v>34949.95937500002</v>
      </c>
      <c r="F116" s="378">
        <f t="shared" si="23"/>
        <v>34949.959374999962</v>
      </c>
      <c r="G116" s="378">
        <f t="shared" si="23"/>
        <v>34949.959375000079</v>
      </c>
      <c r="H116" s="378">
        <f t="shared" si="23"/>
        <v>34949.959374999977</v>
      </c>
      <c r="I116" s="378">
        <f t="shared" si="23"/>
        <v>34949.959374999948</v>
      </c>
      <c r="J116" s="378">
        <f t="shared" si="23"/>
        <v>34949.959374999802</v>
      </c>
      <c r="K116" s="378">
        <f t="shared" si="23"/>
        <v>34949.959375000122</v>
      </c>
      <c r="L116" s="378">
        <f t="shared" si="23"/>
        <v>34949.959375000093</v>
      </c>
      <c r="M116" s="378">
        <f t="shared" si="23"/>
        <v>34949.959375000093</v>
      </c>
      <c r="N116" s="378">
        <f t="shared" si="23"/>
        <v>34949.959375000093</v>
      </c>
      <c r="O116" s="378">
        <f t="shared" si="23"/>
        <v>34949.959375000326</v>
      </c>
      <c r="P116" s="365"/>
      <c r="Q116" s="326"/>
      <c r="R116" s="255"/>
      <c r="U116" s="86"/>
      <c r="V116" s="86"/>
    </row>
    <row r="117" spans="1:22" ht="6.6" hidden="1" customHeight="1" thickBot="1" x14ac:dyDescent="0.25">
      <c r="A117" s="771"/>
      <c r="B117" s="772"/>
      <c r="C117" s="772"/>
      <c r="D117" s="773"/>
      <c r="E117" s="379"/>
      <c r="F117" s="379"/>
      <c r="G117" s="379"/>
      <c r="H117" s="379"/>
      <c r="I117" s="379"/>
      <c r="J117" s="379"/>
      <c r="K117" s="380"/>
      <c r="L117" s="379"/>
      <c r="M117" s="379"/>
      <c r="N117" s="379"/>
      <c r="O117" s="379"/>
      <c r="P117" s="381"/>
      <c r="Q117" s="382"/>
      <c r="U117" s="86"/>
      <c r="V117" s="86"/>
    </row>
    <row r="118" spans="1:22" ht="19.899999999999999" customHeight="1" thickTop="1" thickBot="1" x14ac:dyDescent="0.25">
      <c r="A118" s="661" t="s">
        <v>453</v>
      </c>
      <c r="B118" s="774"/>
      <c r="C118" s="775"/>
      <c r="D118" s="776">
        <f>D7-D91-D116</f>
        <v>1791050.0406249999</v>
      </c>
      <c r="E118" s="383">
        <f t="shared" ref="E118:O118" si="24">E7-E91-E116</f>
        <v>1791050.0406249999</v>
      </c>
      <c r="F118" s="383">
        <f t="shared" si="24"/>
        <v>1791050.0406250001</v>
      </c>
      <c r="G118" s="383">
        <f t="shared" si="24"/>
        <v>1791050.0406249999</v>
      </c>
      <c r="H118" s="383">
        <f t="shared" si="24"/>
        <v>1791050.0406249999</v>
      </c>
      <c r="I118" s="383">
        <f t="shared" si="24"/>
        <v>1791050.0406250001</v>
      </c>
      <c r="J118" s="383">
        <f t="shared" si="24"/>
        <v>1791050.0406250001</v>
      </c>
      <c r="K118" s="383">
        <f t="shared" si="24"/>
        <v>1791050.0406249999</v>
      </c>
      <c r="L118" s="383">
        <f t="shared" si="24"/>
        <v>1791050.0406249999</v>
      </c>
      <c r="M118" s="383">
        <f t="shared" si="24"/>
        <v>1791050.0406249999</v>
      </c>
      <c r="N118" s="383">
        <f t="shared" si="24"/>
        <v>1791050.0406249999</v>
      </c>
      <c r="O118" s="383">
        <f t="shared" si="24"/>
        <v>1791050.0406249997</v>
      </c>
      <c r="P118" s="384">
        <f>SUM(D118:O118)</f>
        <v>21492600.487499997</v>
      </c>
      <c r="Q118" s="385"/>
    </row>
    <row r="119" spans="1:22" ht="3" customHeight="1" x14ac:dyDescent="0.2">
      <c r="A119" s="771"/>
      <c r="B119" s="772"/>
      <c r="C119" s="772"/>
      <c r="D119" s="777"/>
      <c r="E119" s="379"/>
      <c r="F119" s="379"/>
      <c r="G119" s="379"/>
      <c r="H119" s="379"/>
      <c r="I119" s="379"/>
      <c r="J119" s="379"/>
      <c r="K119" s="379"/>
      <c r="L119" s="379"/>
      <c r="M119" s="379"/>
      <c r="N119" s="379"/>
      <c r="O119" s="379"/>
      <c r="P119" s="381"/>
      <c r="Q119" s="382"/>
      <c r="U119" s="86"/>
      <c r="V119" s="86"/>
    </row>
    <row r="120" spans="1:22" ht="34.9" hidden="1" customHeight="1" thickBot="1" x14ac:dyDescent="0.25">
      <c r="A120" s="386" t="s">
        <v>67</v>
      </c>
      <c r="B120" s="387"/>
      <c r="C120" s="387"/>
      <c r="D120" s="388"/>
      <c r="E120" s="388"/>
      <c r="F120" s="388"/>
      <c r="G120" s="388"/>
      <c r="H120" s="388"/>
      <c r="I120" s="388"/>
      <c r="J120" s="388"/>
      <c r="K120" s="388"/>
      <c r="L120" s="388"/>
      <c r="M120" s="388"/>
      <c r="N120" s="388"/>
      <c r="O120" s="388"/>
      <c r="P120" s="389" t="str">
        <f>+P4</f>
        <v>GRAVADO</v>
      </c>
      <c r="Q120" s="390" t="str">
        <f>+Q4</f>
        <v>EXENTO / NO ALCANZADO</v>
      </c>
      <c r="U120" s="86"/>
      <c r="V120" s="86"/>
    </row>
    <row r="121" spans="1:22" ht="15" hidden="1" customHeight="1" x14ac:dyDescent="0.2">
      <c r="A121" s="391"/>
      <c r="B121" s="392"/>
      <c r="C121" s="392"/>
      <c r="D121" s="393"/>
      <c r="E121" s="393"/>
      <c r="F121" s="393"/>
      <c r="G121" s="393"/>
      <c r="H121" s="393"/>
      <c r="I121" s="393"/>
      <c r="J121" s="393"/>
      <c r="K121" s="393"/>
      <c r="L121" s="393"/>
      <c r="M121" s="393"/>
      <c r="N121" s="393"/>
      <c r="O121" s="393"/>
      <c r="P121" s="392"/>
      <c r="Q121" s="392"/>
      <c r="U121" s="86"/>
      <c r="V121" s="86"/>
    </row>
    <row r="122" spans="1:22" ht="23.45" hidden="1" customHeight="1" x14ac:dyDescent="0.2">
      <c r="A122" s="252" t="s">
        <v>138</v>
      </c>
      <c r="B122" s="253"/>
      <c r="C122" s="253"/>
      <c r="D122" s="253"/>
      <c r="E122" s="253"/>
      <c r="F122" s="253"/>
      <c r="G122" s="253"/>
      <c r="H122" s="253"/>
      <c r="I122" s="253"/>
      <c r="J122" s="253"/>
      <c r="K122" s="253"/>
      <c r="L122" s="253"/>
      <c r="M122" s="253"/>
      <c r="N122" s="253"/>
      <c r="O122" s="253"/>
      <c r="P122" s="253"/>
      <c r="Q122" s="253"/>
      <c r="R122" s="255"/>
      <c r="U122" s="86"/>
      <c r="V122" s="86"/>
    </row>
    <row r="123" spans="1:22" ht="15.6" hidden="1" customHeight="1" x14ac:dyDescent="0.2">
      <c r="A123" s="256" t="s">
        <v>139</v>
      </c>
      <c r="B123" s="394"/>
      <c r="C123" s="394"/>
      <c r="D123" s="395"/>
      <c r="E123" s="395"/>
      <c r="F123" s="395"/>
      <c r="G123" s="395"/>
      <c r="H123" s="395"/>
      <c r="I123" s="395"/>
      <c r="J123" s="395"/>
      <c r="K123" s="395"/>
      <c r="L123" s="395"/>
      <c r="M123" s="395"/>
      <c r="N123" s="395"/>
      <c r="O123" s="395"/>
      <c r="P123" s="396"/>
      <c r="Q123" s="396"/>
      <c r="R123" s="255"/>
      <c r="U123" s="86"/>
      <c r="V123" s="86"/>
    </row>
    <row r="124" spans="1:22" ht="12.75" hidden="1" customHeight="1" x14ac:dyDescent="0.2">
      <c r="A124" s="258" t="s">
        <v>140</v>
      </c>
      <c r="B124" s="259" t="str">
        <f t="shared" ref="B124:O124" si="25">+B7</f>
        <v>H</v>
      </c>
      <c r="C124" s="260" t="str">
        <f t="shared" si="25"/>
        <v>R</v>
      </c>
      <c r="D124" s="273">
        <f t="shared" si="25"/>
        <v>2200000</v>
      </c>
      <c r="E124" s="273">
        <f t="shared" si="25"/>
        <v>2200000</v>
      </c>
      <c r="F124" s="273">
        <f t="shared" si="25"/>
        <v>2200000</v>
      </c>
      <c r="G124" s="273">
        <f t="shared" si="25"/>
        <v>2200000</v>
      </c>
      <c r="H124" s="273">
        <f t="shared" si="25"/>
        <v>2200000</v>
      </c>
      <c r="I124" s="273">
        <f t="shared" si="25"/>
        <v>2200000</v>
      </c>
      <c r="J124" s="273">
        <f t="shared" si="25"/>
        <v>2200000</v>
      </c>
      <c r="K124" s="273">
        <f t="shared" si="25"/>
        <v>2200000</v>
      </c>
      <c r="L124" s="273">
        <f t="shared" si="25"/>
        <v>2200000</v>
      </c>
      <c r="M124" s="273">
        <f t="shared" si="25"/>
        <v>2200000</v>
      </c>
      <c r="N124" s="273">
        <f t="shared" si="25"/>
        <v>2200000</v>
      </c>
      <c r="O124" s="273">
        <f t="shared" si="25"/>
        <v>2200000</v>
      </c>
      <c r="P124" s="262">
        <f t="shared" ref="P124:P131" si="26">SUM(D124:O124)</f>
        <v>26400000</v>
      </c>
      <c r="Q124" s="263"/>
      <c r="R124" s="255"/>
      <c r="T124" s="397">
        <f>+P124</f>
        <v>26400000</v>
      </c>
      <c r="U124" s="86" t="s">
        <v>140</v>
      </c>
      <c r="V124" s="86"/>
    </row>
    <row r="125" spans="1:22" ht="12.75" hidden="1" customHeight="1" x14ac:dyDescent="0.2">
      <c r="A125" s="258" t="s">
        <v>213</v>
      </c>
      <c r="B125" s="259" t="str">
        <f t="shared" ref="B125:O125" si="27">+B8</f>
        <v>H</v>
      </c>
      <c r="C125" s="260" t="str">
        <f t="shared" si="27"/>
        <v>NR</v>
      </c>
      <c r="D125" s="273">
        <f t="shared" si="27"/>
        <v>0</v>
      </c>
      <c r="E125" s="273">
        <f t="shared" si="27"/>
        <v>0</v>
      </c>
      <c r="F125" s="273">
        <f t="shared" si="27"/>
        <v>0</v>
      </c>
      <c r="G125" s="273">
        <f t="shared" si="27"/>
        <v>0</v>
      </c>
      <c r="H125" s="273">
        <f t="shared" si="27"/>
        <v>0</v>
      </c>
      <c r="I125" s="273">
        <f t="shared" si="27"/>
        <v>0</v>
      </c>
      <c r="J125" s="273">
        <f t="shared" si="27"/>
        <v>0</v>
      </c>
      <c r="K125" s="273">
        <f t="shared" si="27"/>
        <v>0</v>
      </c>
      <c r="L125" s="273">
        <f t="shared" si="27"/>
        <v>0</v>
      </c>
      <c r="M125" s="273">
        <f t="shared" si="27"/>
        <v>0</v>
      </c>
      <c r="N125" s="273">
        <f t="shared" si="27"/>
        <v>0</v>
      </c>
      <c r="O125" s="273">
        <f t="shared" si="27"/>
        <v>0</v>
      </c>
      <c r="P125" s="262">
        <f t="shared" si="26"/>
        <v>0</v>
      </c>
      <c r="Q125" s="263"/>
      <c r="R125" s="255"/>
      <c r="T125" s="397">
        <f t="shared" ref="T125:T135" si="28">+P125</f>
        <v>0</v>
      </c>
      <c r="U125" s="86" t="s">
        <v>140</v>
      </c>
      <c r="V125" s="86"/>
    </row>
    <row r="126" spans="1:22" ht="12.75" hidden="1" customHeight="1" x14ac:dyDescent="0.2">
      <c r="A126" s="258" t="s">
        <v>208</v>
      </c>
      <c r="B126" s="259" t="str">
        <f t="shared" ref="B126:C135" si="29">+B9</f>
        <v>NH</v>
      </c>
      <c r="C126" s="260" t="str">
        <f t="shared" si="29"/>
        <v>R</v>
      </c>
      <c r="D126" s="273">
        <f>+IF(D$3="SI",P333,IF(D$38=0,0,D9/12))</f>
        <v>0</v>
      </c>
      <c r="E126" s="273">
        <f>+IF(E$38=0,0,E334-SUM($D126:D126))</f>
        <v>0</v>
      </c>
      <c r="F126" s="273">
        <f>+IF(F$38=0,0,F334-SUM($D126:E126))</f>
        <v>0</v>
      </c>
      <c r="G126" s="273">
        <f>+IF(G$38=0,0,G334-SUM($D126:F126))</f>
        <v>0</v>
      </c>
      <c r="H126" s="273">
        <f>+IF(H$38=0,0,H334-SUM($D126:G126))</f>
        <v>0</v>
      </c>
      <c r="I126" s="273">
        <f>+IF(I$38=0,0,I334-SUM($D126:H126))</f>
        <v>0</v>
      </c>
      <c r="J126" s="273">
        <f>+IF(J$38=0,0,J334-SUM($D126:I126))</f>
        <v>0</v>
      </c>
      <c r="K126" s="273">
        <f>+IF(K$38=0,0,K334-SUM($D126:J126))</f>
        <v>0</v>
      </c>
      <c r="L126" s="273">
        <f>+IF(L$38=0,0,L334-SUM($D126:K126))</f>
        <v>0</v>
      </c>
      <c r="M126" s="273">
        <f>+IF(M$38=0,0,M334-SUM($D126:L126))</f>
        <v>0</v>
      </c>
      <c r="N126" s="273">
        <f>+IF(N$38=0,0,N334-SUM($D126:M126))</f>
        <v>0</v>
      </c>
      <c r="O126" s="273">
        <f>+IF(O$38=0,0,O334-SUM($D126:N126))</f>
        <v>0</v>
      </c>
      <c r="P126" s="262">
        <f>+P333</f>
        <v>0</v>
      </c>
      <c r="Q126" s="263"/>
      <c r="R126" s="255"/>
      <c r="T126" s="397">
        <f t="shared" si="28"/>
        <v>0</v>
      </c>
      <c r="U126" s="86" t="s">
        <v>141</v>
      </c>
      <c r="V126" s="86"/>
    </row>
    <row r="127" spans="1:22" ht="12.75" hidden="1" customHeight="1" x14ac:dyDescent="0.2">
      <c r="A127" s="258" t="s">
        <v>214</v>
      </c>
      <c r="B127" s="259" t="str">
        <f t="shared" si="29"/>
        <v>NH</v>
      </c>
      <c r="C127" s="260" t="str">
        <f t="shared" si="29"/>
        <v>NR</v>
      </c>
      <c r="D127" s="273">
        <f>+IF(D$3="SI",P335,IF(D$38=0,0,D10/12))</f>
        <v>0</v>
      </c>
      <c r="E127" s="273">
        <f>+IF(E$38=0,0,E336-SUM($D127:D127))</f>
        <v>0</v>
      </c>
      <c r="F127" s="273">
        <f>+IF(F$38=0,0,F336-SUM($D127:E127))</f>
        <v>0</v>
      </c>
      <c r="G127" s="273">
        <f>+IF(G$38=0,0,G336-SUM($D127:F127))</f>
        <v>0</v>
      </c>
      <c r="H127" s="273">
        <f>+IF(H$38=0,0,H336-SUM($D127:G127))</f>
        <v>0</v>
      </c>
      <c r="I127" s="273">
        <f>+IF(I$38=0,0,I336-SUM($D127:H127))</f>
        <v>0</v>
      </c>
      <c r="J127" s="273">
        <f>+IF(J$38=0,0,J336-SUM($D127:I127))</f>
        <v>0</v>
      </c>
      <c r="K127" s="273">
        <f>+IF(K$38=0,0,K336-SUM($D127:J127))</f>
        <v>0</v>
      </c>
      <c r="L127" s="273">
        <f>+IF(L$38=0,0,L336-SUM($D127:K127))</f>
        <v>0</v>
      </c>
      <c r="M127" s="273">
        <f>+IF(M$38=0,0,M336-SUM($D127:L127))</f>
        <v>0</v>
      </c>
      <c r="N127" s="273">
        <f>+IF(N$38=0,0,N336-SUM($D127:M127))</f>
        <v>0</v>
      </c>
      <c r="O127" s="273">
        <f>+IF(O$38=0,0,O336-SUM($D127:N127))</f>
        <v>0</v>
      </c>
      <c r="P127" s="262">
        <f>+P335</f>
        <v>0</v>
      </c>
      <c r="Q127" s="263"/>
      <c r="R127" s="255"/>
      <c r="T127" s="397">
        <f t="shared" si="28"/>
        <v>0</v>
      </c>
      <c r="U127" s="86" t="s">
        <v>141</v>
      </c>
      <c r="V127" s="86"/>
    </row>
    <row r="128" spans="1:22" ht="12.75" hidden="1" customHeight="1" x14ac:dyDescent="0.2">
      <c r="A128" s="258" t="s">
        <v>422</v>
      </c>
      <c r="B128" s="259" t="str">
        <f t="shared" si="29"/>
        <v>H</v>
      </c>
      <c r="C128" s="260" t="str">
        <f t="shared" si="29"/>
        <v>R</v>
      </c>
      <c r="D128" s="273">
        <f t="shared" ref="D128:O128" si="30">+D11</f>
        <v>0</v>
      </c>
      <c r="E128" s="273">
        <f t="shared" si="30"/>
        <v>0</v>
      </c>
      <c r="F128" s="273">
        <f t="shared" si="30"/>
        <v>0</v>
      </c>
      <c r="G128" s="273">
        <f t="shared" si="30"/>
        <v>0</v>
      </c>
      <c r="H128" s="273">
        <f t="shared" si="30"/>
        <v>0</v>
      </c>
      <c r="I128" s="273">
        <f t="shared" si="30"/>
        <v>0</v>
      </c>
      <c r="J128" s="273">
        <f t="shared" si="30"/>
        <v>0</v>
      </c>
      <c r="K128" s="273">
        <f t="shared" si="30"/>
        <v>0</v>
      </c>
      <c r="L128" s="273">
        <f t="shared" si="30"/>
        <v>0</v>
      </c>
      <c r="M128" s="273">
        <f t="shared" si="30"/>
        <v>0</v>
      </c>
      <c r="N128" s="273">
        <f t="shared" si="30"/>
        <v>0</v>
      </c>
      <c r="O128" s="273">
        <f t="shared" si="30"/>
        <v>0</v>
      </c>
      <c r="P128" s="262">
        <f t="shared" si="26"/>
        <v>0</v>
      </c>
      <c r="Q128" s="263"/>
      <c r="R128" s="255"/>
      <c r="T128" s="397">
        <f t="shared" si="28"/>
        <v>0</v>
      </c>
      <c r="U128" s="86" t="s">
        <v>142</v>
      </c>
      <c r="V128" s="86"/>
    </row>
    <row r="129" spans="1:22" ht="12.75" hidden="1" customHeight="1" x14ac:dyDescent="0.2">
      <c r="A129" s="258" t="s">
        <v>423</v>
      </c>
      <c r="B129" s="259" t="str">
        <f t="shared" si="29"/>
        <v>H</v>
      </c>
      <c r="C129" s="260" t="str">
        <f t="shared" si="29"/>
        <v>R</v>
      </c>
      <c r="D129" s="273">
        <f t="shared" ref="D129:O129" si="31">+D12</f>
        <v>0</v>
      </c>
      <c r="E129" s="273">
        <f t="shared" si="31"/>
        <v>0</v>
      </c>
      <c r="F129" s="273">
        <f t="shared" si="31"/>
        <v>0</v>
      </c>
      <c r="G129" s="273">
        <f t="shared" si="31"/>
        <v>0</v>
      </c>
      <c r="H129" s="273">
        <f t="shared" si="31"/>
        <v>0</v>
      </c>
      <c r="I129" s="273">
        <f t="shared" si="31"/>
        <v>0</v>
      </c>
      <c r="J129" s="273">
        <f t="shared" si="31"/>
        <v>0</v>
      </c>
      <c r="K129" s="273">
        <f t="shared" si="31"/>
        <v>0</v>
      </c>
      <c r="L129" s="273">
        <f t="shared" si="31"/>
        <v>0</v>
      </c>
      <c r="M129" s="273">
        <f t="shared" si="31"/>
        <v>0</v>
      </c>
      <c r="N129" s="273">
        <f t="shared" si="31"/>
        <v>0</v>
      </c>
      <c r="O129" s="273">
        <f t="shared" si="31"/>
        <v>0</v>
      </c>
      <c r="P129" s="262">
        <f t="shared" si="26"/>
        <v>0</v>
      </c>
      <c r="Q129" s="263"/>
      <c r="R129" s="255"/>
      <c r="T129" s="397">
        <f t="shared" si="28"/>
        <v>0</v>
      </c>
      <c r="U129" s="86" t="s">
        <v>143</v>
      </c>
      <c r="V129" s="86"/>
    </row>
    <row r="130" spans="1:22" ht="12.75" hidden="1" customHeight="1" x14ac:dyDescent="0.2">
      <c r="A130" s="258" t="s">
        <v>424</v>
      </c>
      <c r="B130" s="259" t="str">
        <f t="shared" si="29"/>
        <v>H</v>
      </c>
      <c r="C130" s="260" t="str">
        <f t="shared" si="29"/>
        <v>R</v>
      </c>
      <c r="D130" s="273">
        <f t="shared" ref="D130:O130" si="32">+D13</f>
        <v>0</v>
      </c>
      <c r="E130" s="273">
        <f t="shared" si="32"/>
        <v>0</v>
      </c>
      <c r="F130" s="273">
        <f t="shared" si="32"/>
        <v>0</v>
      </c>
      <c r="G130" s="273">
        <f t="shared" si="32"/>
        <v>0</v>
      </c>
      <c r="H130" s="273">
        <f t="shared" si="32"/>
        <v>0</v>
      </c>
      <c r="I130" s="273">
        <f t="shared" si="32"/>
        <v>0</v>
      </c>
      <c r="J130" s="273">
        <f t="shared" si="32"/>
        <v>0</v>
      </c>
      <c r="K130" s="273">
        <f t="shared" si="32"/>
        <v>0</v>
      </c>
      <c r="L130" s="273">
        <f t="shared" si="32"/>
        <v>0</v>
      </c>
      <c r="M130" s="273">
        <f t="shared" si="32"/>
        <v>0</v>
      </c>
      <c r="N130" s="273">
        <f t="shared" si="32"/>
        <v>0</v>
      </c>
      <c r="O130" s="273">
        <f t="shared" si="32"/>
        <v>0</v>
      </c>
      <c r="P130" s="262">
        <f t="shared" si="26"/>
        <v>0</v>
      </c>
      <c r="Q130" s="263"/>
      <c r="R130" s="255"/>
      <c r="T130" s="397">
        <f t="shared" si="28"/>
        <v>0</v>
      </c>
      <c r="U130" s="86" t="s">
        <v>143</v>
      </c>
      <c r="V130" s="86"/>
    </row>
    <row r="131" spans="1:22" ht="12.75" hidden="1" customHeight="1" x14ac:dyDescent="0.2">
      <c r="A131" s="258" t="s">
        <v>425</v>
      </c>
      <c r="B131" s="259" t="str">
        <f t="shared" si="29"/>
        <v>H</v>
      </c>
      <c r="C131" s="260" t="str">
        <f t="shared" si="29"/>
        <v>R</v>
      </c>
      <c r="D131" s="273">
        <f t="shared" ref="D131:O131" si="33">+D14</f>
        <v>0</v>
      </c>
      <c r="E131" s="273">
        <f t="shared" si="33"/>
        <v>0</v>
      </c>
      <c r="F131" s="273">
        <f t="shared" si="33"/>
        <v>0</v>
      </c>
      <c r="G131" s="273">
        <f t="shared" si="33"/>
        <v>0</v>
      </c>
      <c r="H131" s="273">
        <f t="shared" si="33"/>
        <v>0</v>
      </c>
      <c r="I131" s="273">
        <f t="shared" si="33"/>
        <v>0</v>
      </c>
      <c r="J131" s="273">
        <f t="shared" si="33"/>
        <v>0</v>
      </c>
      <c r="K131" s="273">
        <f t="shared" si="33"/>
        <v>0</v>
      </c>
      <c r="L131" s="273">
        <f t="shared" si="33"/>
        <v>0</v>
      </c>
      <c r="M131" s="273">
        <f t="shared" si="33"/>
        <v>0</v>
      </c>
      <c r="N131" s="273">
        <f t="shared" si="33"/>
        <v>0</v>
      </c>
      <c r="O131" s="273">
        <f t="shared" si="33"/>
        <v>0</v>
      </c>
      <c r="P131" s="262">
        <f t="shared" si="26"/>
        <v>0</v>
      </c>
      <c r="Q131" s="263"/>
      <c r="R131" s="255"/>
      <c r="T131" s="397">
        <f t="shared" si="28"/>
        <v>0</v>
      </c>
      <c r="U131" s="86" t="s">
        <v>143</v>
      </c>
      <c r="V131" s="86"/>
    </row>
    <row r="132" spans="1:22" ht="12.75" hidden="1" customHeight="1" x14ac:dyDescent="0.2">
      <c r="A132" s="258" t="s">
        <v>426</v>
      </c>
      <c r="B132" s="259" t="str">
        <f t="shared" si="29"/>
        <v>H</v>
      </c>
      <c r="C132" s="260" t="str">
        <f t="shared" si="29"/>
        <v>R</v>
      </c>
      <c r="D132" s="273">
        <f>+D15</f>
        <v>0</v>
      </c>
      <c r="E132" s="273">
        <f t="shared" ref="E132:O132" si="34">+E15</f>
        <v>0</v>
      </c>
      <c r="F132" s="273">
        <f t="shared" si="34"/>
        <v>0</v>
      </c>
      <c r="G132" s="273">
        <f t="shared" si="34"/>
        <v>0</v>
      </c>
      <c r="H132" s="273">
        <f t="shared" si="34"/>
        <v>0</v>
      </c>
      <c r="I132" s="273">
        <f t="shared" si="34"/>
        <v>0</v>
      </c>
      <c r="J132" s="273">
        <f t="shared" si="34"/>
        <v>0</v>
      </c>
      <c r="K132" s="273">
        <f t="shared" si="34"/>
        <v>0</v>
      </c>
      <c r="L132" s="273">
        <f t="shared" si="34"/>
        <v>0</v>
      </c>
      <c r="M132" s="273">
        <f t="shared" si="34"/>
        <v>0</v>
      </c>
      <c r="N132" s="273">
        <f t="shared" si="34"/>
        <v>0</v>
      </c>
      <c r="O132" s="273">
        <f t="shared" si="34"/>
        <v>0</v>
      </c>
      <c r="P132" s="262">
        <f>SUM(D132:O132)</f>
        <v>0</v>
      </c>
      <c r="Q132" s="263"/>
      <c r="R132" s="255"/>
      <c r="T132" s="397">
        <f t="shared" si="28"/>
        <v>0</v>
      </c>
      <c r="U132" s="86" t="s">
        <v>144</v>
      </c>
      <c r="V132" s="86"/>
    </row>
    <row r="133" spans="1:22" ht="12.75" hidden="1" customHeight="1" x14ac:dyDescent="0.2">
      <c r="A133" s="258" t="s">
        <v>434</v>
      </c>
      <c r="B133" s="259" t="str">
        <f t="shared" si="29"/>
        <v>NH</v>
      </c>
      <c r="C133" s="260" t="str">
        <f t="shared" si="29"/>
        <v>R</v>
      </c>
      <c r="D133" s="273">
        <f>+IF($B133="H",D16,IF(D$38=0,0,D16/12))</f>
        <v>0</v>
      </c>
      <c r="E133" s="273">
        <f>+IF($B133="H",E16,IF(E$38=0,0,E338-SUM($D133:D133)))</f>
        <v>0</v>
      </c>
      <c r="F133" s="273">
        <f>+IF($B133="H",F16,IF(F$38=0,0,F338-SUM($D133:E133)))</f>
        <v>0</v>
      </c>
      <c r="G133" s="273">
        <f>+IF($B133="H",G16,IF(G$38=0,0,G338-SUM($D133:F133)))</f>
        <v>0</v>
      </c>
      <c r="H133" s="273">
        <f>+IF($B133="H",H16,IF(H$38=0,0,H338-SUM($D133:G133)))</f>
        <v>0</v>
      </c>
      <c r="I133" s="273">
        <f>+IF($B133="H",I16,IF(I$38=0,0,I338-SUM($D133:H133)))</f>
        <v>0</v>
      </c>
      <c r="J133" s="273">
        <f>+IF($B133="H",J16,IF(J$38=0,0,J338-SUM($D133:I133)))</f>
        <v>0</v>
      </c>
      <c r="K133" s="273">
        <f>+IF($B133="H",K16,IF(K$38=0,0,K338-SUM($D133:J133)))</f>
        <v>0</v>
      </c>
      <c r="L133" s="273">
        <f>+IF($B133="H",L16,IF(L$38=0,0,L338-SUM($D133:K133)))</f>
        <v>0</v>
      </c>
      <c r="M133" s="273">
        <f>+IF($B133="H",M16,IF(M$38=0,0,M338-SUM($D133:L133)))</f>
        <v>0</v>
      </c>
      <c r="N133" s="273">
        <f>+IF($B133="H",N16,IF(N$38=0,0,N338-SUM($D133:M133)))</f>
        <v>0</v>
      </c>
      <c r="O133" s="273">
        <f>+IF($B133="H",O16,IF(O$38=0,0,O338-SUM($D133:N133)))</f>
        <v>0</v>
      </c>
      <c r="P133" s="262">
        <f t="shared" ref="P133:P135" si="35">SUM(D133:O133)</f>
        <v>0</v>
      </c>
      <c r="Q133" s="263"/>
      <c r="R133" s="255"/>
      <c r="T133" s="397">
        <f t="shared" si="28"/>
        <v>0</v>
      </c>
      <c r="U133" s="86" t="s">
        <v>145</v>
      </c>
      <c r="V133" s="86"/>
    </row>
    <row r="134" spans="1:22" ht="12.75" hidden="1" customHeight="1" x14ac:dyDescent="0.2">
      <c r="A134" s="258" t="s">
        <v>428</v>
      </c>
      <c r="B134" s="259" t="str">
        <f t="shared" si="29"/>
        <v>H</v>
      </c>
      <c r="C134" s="260" t="str">
        <f t="shared" si="29"/>
        <v>R</v>
      </c>
      <c r="D134" s="273">
        <f>+IF($B134="H",D17,IF(D$38=0,0,D17/12))</f>
        <v>0</v>
      </c>
      <c r="E134" s="273">
        <f>+IF($B134="H",E17,IF(E$38=0,0,E340-SUM($D134:D134)))</f>
        <v>0</v>
      </c>
      <c r="F134" s="273">
        <f>+IF($B134="H",F17,IF(F$38=0,0,F340-SUM($D134:E134)))</f>
        <v>0</v>
      </c>
      <c r="G134" s="273">
        <f>+IF($B134="H",G17,IF(G$38=0,0,G340-SUM($D134:F134)))</f>
        <v>0</v>
      </c>
      <c r="H134" s="273">
        <f>+IF($B134="H",H17,IF(H$38=0,0,H340-SUM($D134:G134)))</f>
        <v>0</v>
      </c>
      <c r="I134" s="273">
        <f>+IF($B134="H",I17,IF(I$38=0,0,I340-SUM($D134:H134)))</f>
        <v>0</v>
      </c>
      <c r="J134" s="273">
        <f>+IF($B134="H",J17,IF(J$38=0,0,J340-SUM($D134:I134)))</f>
        <v>0</v>
      </c>
      <c r="K134" s="273">
        <f>+IF($B134="H",K17,IF(K$38=0,0,K340-SUM($D134:J134)))</f>
        <v>0</v>
      </c>
      <c r="L134" s="273">
        <f>+IF($B134="H",L17,IF(L$38=0,0,L340-SUM($D134:K134)))</f>
        <v>0</v>
      </c>
      <c r="M134" s="273">
        <f>+IF($B134="H",M17,IF(M$38=0,0,M340-SUM($D134:L134)))</f>
        <v>0</v>
      </c>
      <c r="N134" s="273">
        <f>+IF($B134="H",N17,IF(N$38=0,0,N340-SUM($D134:M134)))</f>
        <v>0</v>
      </c>
      <c r="O134" s="273">
        <f>+IF($B134="H",O17,IF(O$38=0,0,O340-SUM($D134:N134)))</f>
        <v>0</v>
      </c>
      <c r="P134" s="262">
        <f t="shared" si="35"/>
        <v>0</v>
      </c>
      <c r="Q134" s="263"/>
      <c r="R134" s="255"/>
      <c r="T134" s="397">
        <f t="shared" si="28"/>
        <v>0</v>
      </c>
      <c r="U134" s="86" t="s">
        <v>146</v>
      </c>
      <c r="V134" s="86"/>
    </row>
    <row r="135" spans="1:22" ht="12.75" hidden="1" customHeight="1" x14ac:dyDescent="0.2">
      <c r="A135" s="258" t="s">
        <v>435</v>
      </c>
      <c r="B135" s="259" t="str">
        <f t="shared" si="29"/>
        <v>H</v>
      </c>
      <c r="C135" s="260" t="str">
        <f t="shared" si="29"/>
        <v>R</v>
      </c>
      <c r="D135" s="273">
        <f>+IF($B135="H",D18,IF(D$38=0,0,D18/12))</f>
        <v>0</v>
      </c>
      <c r="E135" s="273">
        <f>+IF($B135="H",E18,IF(E$38=0,0,E342-SUM($D135:D135)))</f>
        <v>0</v>
      </c>
      <c r="F135" s="273">
        <f>+IF($B135="H",F18,IF(F$38=0,0,F342-SUM($D135:E135)))</f>
        <v>0</v>
      </c>
      <c r="G135" s="273">
        <f>+IF($B135="H",G18,IF(G$38=0,0,G342-SUM($D135:F135)))</f>
        <v>0</v>
      </c>
      <c r="H135" s="273">
        <f>+IF($B135="H",H18,IF(H$38=0,0,H342-SUM($D135:G135)))</f>
        <v>0</v>
      </c>
      <c r="I135" s="273">
        <f>+IF($B135="H",I18,IF(I$38=0,0,I342-SUM($D135:H135)))</f>
        <v>0</v>
      </c>
      <c r="J135" s="273">
        <f>+IF($B135="H",J18,IF(J$38=0,0,J342-SUM($D135:I135)))</f>
        <v>0</v>
      </c>
      <c r="K135" s="273">
        <f>+IF($B135="H",K18,IF(K$38=0,0,K342-SUM($D135:J135)))</f>
        <v>0</v>
      </c>
      <c r="L135" s="273">
        <f>+IF($B135="H",L18,IF(L$38=0,0,L342-SUM($D135:K135)))</f>
        <v>0</v>
      </c>
      <c r="M135" s="273">
        <f>+IF($B135="H",M18,IF(M$38=0,0,M342-SUM($D135:L135)))</f>
        <v>0</v>
      </c>
      <c r="N135" s="273">
        <f>+IF($B135="H",N18,IF(N$38=0,0,N342-SUM($D135:M135)))</f>
        <v>0</v>
      </c>
      <c r="O135" s="273">
        <f>+IF($B135="H",O18,IF(O$38=0,0,O342-SUM($D135:N135)))</f>
        <v>0</v>
      </c>
      <c r="P135" s="262">
        <f t="shared" si="35"/>
        <v>0</v>
      </c>
      <c r="Q135" s="263"/>
      <c r="R135" s="255"/>
      <c r="T135" s="397">
        <f t="shared" si="28"/>
        <v>0</v>
      </c>
      <c r="U135" s="86" t="s">
        <v>147</v>
      </c>
      <c r="V135" s="86"/>
    </row>
    <row r="136" spans="1:22" ht="12.75" hidden="1" customHeight="1" x14ac:dyDescent="0.2">
      <c r="A136" s="264" t="s">
        <v>209</v>
      </c>
      <c r="B136" s="259" t="str">
        <f>+B19</f>
        <v>H</v>
      </c>
      <c r="C136" s="260"/>
      <c r="D136" s="273"/>
      <c r="E136" s="273"/>
      <c r="F136" s="273"/>
      <c r="G136" s="273"/>
      <c r="H136" s="273"/>
      <c r="I136" s="273"/>
      <c r="J136" s="273"/>
      <c r="K136" s="273"/>
      <c r="L136" s="273"/>
      <c r="M136" s="273"/>
      <c r="N136" s="273"/>
      <c r="O136" s="273"/>
      <c r="P136" s="262"/>
      <c r="Q136" s="263">
        <f>+Q19</f>
        <v>0</v>
      </c>
      <c r="R136" s="255"/>
      <c r="T136" s="398">
        <f>+Q136</f>
        <v>0</v>
      </c>
      <c r="U136" s="88" t="s">
        <v>246</v>
      </c>
      <c r="V136" s="88" t="s">
        <v>247</v>
      </c>
    </row>
    <row r="137" spans="1:22" ht="12.75" hidden="1" customHeight="1" x14ac:dyDescent="0.2">
      <c r="A137" s="264" t="s">
        <v>217</v>
      </c>
      <c r="B137" s="259" t="str">
        <f>+B20</f>
        <v>H</v>
      </c>
      <c r="C137" s="260"/>
      <c r="D137" s="273"/>
      <c r="E137" s="273"/>
      <c r="F137" s="273"/>
      <c r="G137" s="273"/>
      <c r="H137" s="273"/>
      <c r="I137" s="273"/>
      <c r="J137" s="273"/>
      <c r="K137" s="273"/>
      <c r="L137" s="273"/>
      <c r="M137" s="273"/>
      <c r="N137" s="273"/>
      <c r="O137" s="273"/>
      <c r="P137" s="262"/>
      <c r="Q137" s="263">
        <f>+Q20</f>
        <v>0</v>
      </c>
      <c r="R137" s="255"/>
      <c r="T137" s="398">
        <f t="shared" ref="T137:T147" si="36">+Q137</f>
        <v>0</v>
      </c>
      <c r="U137" s="88" t="s">
        <v>246</v>
      </c>
      <c r="V137" s="88" t="s">
        <v>247</v>
      </c>
    </row>
    <row r="138" spans="1:22" ht="12.75" hidden="1" customHeight="1" x14ac:dyDescent="0.2">
      <c r="A138" s="264" t="s">
        <v>210</v>
      </c>
      <c r="B138" s="259" t="str">
        <f>+B21</f>
        <v>NH</v>
      </c>
      <c r="C138" s="260"/>
      <c r="D138" s="273"/>
      <c r="E138" s="273"/>
      <c r="F138" s="273"/>
      <c r="G138" s="273"/>
      <c r="H138" s="273"/>
      <c r="I138" s="273"/>
      <c r="J138" s="273"/>
      <c r="K138" s="273"/>
      <c r="L138" s="273"/>
      <c r="M138" s="273"/>
      <c r="N138" s="273"/>
      <c r="O138" s="273"/>
      <c r="P138" s="262"/>
      <c r="Q138" s="263">
        <f>+Q21</f>
        <v>0</v>
      </c>
      <c r="R138" s="255"/>
      <c r="T138" s="398">
        <f t="shared" si="36"/>
        <v>0</v>
      </c>
      <c r="U138" s="88" t="s">
        <v>148</v>
      </c>
      <c r="V138" s="88" t="s">
        <v>247</v>
      </c>
    </row>
    <row r="139" spans="1:22" ht="12.75" hidden="1" customHeight="1" x14ac:dyDescent="0.2">
      <c r="A139" s="264" t="s">
        <v>218</v>
      </c>
      <c r="B139" s="259" t="str">
        <f>+B22</f>
        <v>NH</v>
      </c>
      <c r="C139" s="260"/>
      <c r="D139" s="273"/>
      <c r="E139" s="273"/>
      <c r="F139" s="273"/>
      <c r="G139" s="273"/>
      <c r="H139" s="273"/>
      <c r="I139" s="273"/>
      <c r="J139" s="273"/>
      <c r="K139" s="273"/>
      <c r="L139" s="273"/>
      <c r="M139" s="273"/>
      <c r="N139" s="273"/>
      <c r="O139" s="273"/>
      <c r="P139" s="262"/>
      <c r="Q139" s="263">
        <f>+Q22</f>
        <v>0</v>
      </c>
      <c r="R139" s="255"/>
      <c r="T139" s="398">
        <f t="shared" si="36"/>
        <v>0</v>
      </c>
      <c r="U139" s="88" t="s">
        <v>148</v>
      </c>
      <c r="V139" s="88" t="s">
        <v>247</v>
      </c>
    </row>
    <row r="140" spans="1:22" s="272" customFormat="1" ht="12.75" hidden="1" customHeight="1" x14ac:dyDescent="0.2">
      <c r="A140" s="265" t="s">
        <v>149</v>
      </c>
      <c r="B140" s="266" t="str">
        <f>+B23</f>
        <v>H</v>
      </c>
      <c r="C140" s="267"/>
      <c r="D140" s="399"/>
      <c r="E140" s="399"/>
      <c r="F140" s="399"/>
      <c r="G140" s="399"/>
      <c r="H140" s="399"/>
      <c r="I140" s="399"/>
      <c r="J140" s="399"/>
      <c r="K140" s="399"/>
      <c r="L140" s="399"/>
      <c r="M140" s="399"/>
      <c r="N140" s="399"/>
      <c r="O140" s="399"/>
      <c r="P140" s="269"/>
      <c r="Q140" s="270">
        <f>+Q23</f>
        <v>0</v>
      </c>
      <c r="R140" s="271"/>
      <c r="T140" s="400">
        <f t="shared" si="36"/>
        <v>0</v>
      </c>
      <c r="U140" s="129" t="s">
        <v>149</v>
      </c>
      <c r="V140" s="129" t="s">
        <v>247</v>
      </c>
    </row>
    <row r="141" spans="1:22" s="272" customFormat="1" ht="12.75" hidden="1" customHeight="1" x14ac:dyDescent="0.2">
      <c r="A141" s="265" t="s">
        <v>150</v>
      </c>
      <c r="B141" s="266" t="str">
        <f>+B132</f>
        <v>H</v>
      </c>
      <c r="C141" s="267"/>
      <c r="D141" s="401">
        <f>+MIN(SUM($D$15:D15),Tablas!$G$3*0.4/12*MONTH(D$4))</f>
        <v>0</v>
      </c>
      <c r="E141" s="401">
        <f>+MIN(SUM($D$15:E15),Tablas!$G$3*0.4/12*MONTH(E$4))-SUM($D141:D141)</f>
        <v>0</v>
      </c>
      <c r="F141" s="401">
        <f>+MIN(SUM($D$15:F15),Tablas!$G$3*0.4/12*MONTH(F$4))-SUM($D141:E141)</f>
        <v>0</v>
      </c>
      <c r="G141" s="401">
        <f>+MIN(SUM($D$15:G15),Tablas!$G$3*0.4/12*MONTH(G$4))-SUM($D141:F141)</f>
        <v>0</v>
      </c>
      <c r="H141" s="401">
        <f>+MIN(SUM($D$15:H15),Tablas!$G$3*0.4/12*MONTH(H$4))-SUM($D141:G141)</f>
        <v>0</v>
      </c>
      <c r="I141" s="401">
        <f>+MIN(SUM($D$15:I15),Tablas!$G$3*0.4/12*MONTH(I$4))-SUM($D141:H141)</f>
        <v>0</v>
      </c>
      <c r="J141" s="401">
        <f>+MIN(SUM($D$15:J15),Tablas!$G$3*0.4/12*MONTH(J$4))-SUM($D141:I141)</f>
        <v>0</v>
      </c>
      <c r="K141" s="401">
        <f>+MIN(SUM($D$15:K15),Tablas!$G$3*0.4/12*MONTH(K$4))-SUM($D141:J141)</f>
        <v>0</v>
      </c>
      <c r="L141" s="401">
        <f>+MIN(SUM($D$15:L15),Tablas!$G$3*0.4/12*MONTH(L$4))-SUM($D141:K141)</f>
        <v>0</v>
      </c>
      <c r="M141" s="401">
        <f>+MIN(SUM($D$15:M15),Tablas!$G$3*0.4/12*MONTH(M$4))-SUM($D141:L141)</f>
        <v>0</v>
      </c>
      <c r="N141" s="401">
        <f>+MIN(SUM($D$15:N15),Tablas!$G$3*0.4/12*MONTH(N$4))-SUM($D141:M141)</f>
        <v>0</v>
      </c>
      <c r="O141" s="401">
        <f>+MIN(SUM($D$15:O15),Tablas!$G$3*0.4/12*MONTH(O$4))-SUM($D141:N141)</f>
        <v>0</v>
      </c>
      <c r="P141" s="269"/>
      <c r="Q141" s="270">
        <f>SUM(D141:O141)</f>
        <v>0</v>
      </c>
      <c r="R141" s="271"/>
      <c r="T141" s="400">
        <f t="shared" si="36"/>
        <v>0</v>
      </c>
      <c r="U141" s="129" t="s">
        <v>150</v>
      </c>
      <c r="V141" s="129" t="s">
        <v>247</v>
      </c>
    </row>
    <row r="142" spans="1:22" s="272" customFormat="1" ht="12.75" hidden="1" customHeight="1" x14ac:dyDescent="0.2">
      <c r="A142" s="265" t="s">
        <v>315</v>
      </c>
      <c r="B142" s="266" t="str">
        <f t="shared" ref="B142:B147" si="37">+B24</f>
        <v>H</v>
      </c>
      <c r="C142" s="267"/>
      <c r="D142" s="402"/>
      <c r="E142" s="402"/>
      <c r="F142" s="402"/>
      <c r="G142" s="402"/>
      <c r="H142" s="402"/>
      <c r="I142" s="402"/>
      <c r="J142" s="402"/>
      <c r="K142" s="402"/>
      <c r="L142" s="402"/>
      <c r="M142" s="402"/>
      <c r="N142" s="402"/>
      <c r="O142" s="402"/>
      <c r="P142" s="269"/>
      <c r="Q142" s="270">
        <f>+Q24</f>
        <v>0</v>
      </c>
      <c r="R142" s="271"/>
      <c r="T142" s="400">
        <f t="shared" si="36"/>
        <v>0</v>
      </c>
      <c r="U142" s="129" t="s">
        <v>315</v>
      </c>
      <c r="V142" s="129" t="s">
        <v>247</v>
      </c>
    </row>
    <row r="143" spans="1:22" s="272" customFormat="1" ht="12.75" hidden="1" customHeight="1" x14ac:dyDescent="0.2">
      <c r="A143" s="265" t="s">
        <v>151</v>
      </c>
      <c r="B143" s="266" t="str">
        <f t="shared" si="37"/>
        <v>NH</v>
      </c>
      <c r="C143" s="267"/>
      <c r="D143" s="402"/>
      <c r="E143" s="402"/>
      <c r="F143" s="402"/>
      <c r="G143" s="402"/>
      <c r="H143" s="402"/>
      <c r="I143" s="402"/>
      <c r="J143" s="402"/>
      <c r="K143" s="402"/>
      <c r="L143" s="402"/>
      <c r="M143" s="402"/>
      <c r="N143" s="402"/>
      <c r="O143" s="402"/>
      <c r="P143" s="269"/>
      <c r="Q143" s="270">
        <f>+P16+Q25-P133</f>
        <v>0</v>
      </c>
      <c r="R143" s="271"/>
      <c r="T143" s="400">
        <f t="shared" si="36"/>
        <v>0</v>
      </c>
      <c r="U143" s="129" t="s">
        <v>151</v>
      </c>
      <c r="V143" s="129" t="s">
        <v>247</v>
      </c>
    </row>
    <row r="144" spans="1:22" s="272" customFormat="1" ht="12.75" hidden="1" customHeight="1" x14ac:dyDescent="0.2">
      <c r="A144" s="265" t="s">
        <v>152</v>
      </c>
      <c r="B144" s="266" t="str">
        <f t="shared" si="37"/>
        <v>H</v>
      </c>
      <c r="C144" s="267"/>
      <c r="D144" s="402"/>
      <c r="E144" s="402"/>
      <c r="F144" s="402"/>
      <c r="G144" s="402"/>
      <c r="H144" s="402"/>
      <c r="I144" s="402"/>
      <c r="J144" s="402"/>
      <c r="K144" s="402"/>
      <c r="L144" s="402"/>
      <c r="M144" s="402"/>
      <c r="N144" s="402"/>
      <c r="O144" s="402"/>
      <c r="P144" s="269"/>
      <c r="Q144" s="270">
        <f>+P17+Q26-P134</f>
        <v>0</v>
      </c>
      <c r="R144" s="271"/>
      <c r="T144" s="400">
        <f t="shared" si="36"/>
        <v>0</v>
      </c>
      <c r="U144" s="129" t="s">
        <v>152</v>
      </c>
      <c r="V144" s="129" t="s">
        <v>247</v>
      </c>
    </row>
    <row r="145" spans="1:22" s="272" customFormat="1" ht="12.75" hidden="1" customHeight="1" x14ac:dyDescent="0.2">
      <c r="A145" s="265" t="s">
        <v>153</v>
      </c>
      <c r="B145" s="266" t="str">
        <f t="shared" si="37"/>
        <v>H</v>
      </c>
      <c r="C145" s="267"/>
      <c r="D145" s="402"/>
      <c r="E145" s="402"/>
      <c r="F145" s="402"/>
      <c r="G145" s="402"/>
      <c r="H145" s="402"/>
      <c r="I145" s="402"/>
      <c r="J145" s="402"/>
      <c r="K145" s="402"/>
      <c r="L145" s="402"/>
      <c r="M145" s="402"/>
      <c r="N145" s="402"/>
      <c r="O145" s="402"/>
      <c r="P145" s="269"/>
      <c r="Q145" s="270">
        <f>+P18+Q27-P135</f>
        <v>0</v>
      </c>
      <c r="R145" s="271"/>
      <c r="T145" s="400">
        <f t="shared" si="36"/>
        <v>0</v>
      </c>
      <c r="U145" s="129" t="s">
        <v>153</v>
      </c>
      <c r="V145" s="129" t="s">
        <v>247</v>
      </c>
    </row>
    <row r="146" spans="1:22" s="272" customFormat="1" ht="12.75" hidden="1" customHeight="1" x14ac:dyDescent="0.2">
      <c r="A146" s="265" t="s">
        <v>154</v>
      </c>
      <c r="B146" s="266" t="str">
        <f t="shared" si="37"/>
        <v>H</v>
      </c>
      <c r="C146" s="267"/>
      <c r="D146" s="402"/>
      <c r="E146" s="402"/>
      <c r="F146" s="402"/>
      <c r="G146" s="402"/>
      <c r="H146" s="402"/>
      <c r="I146" s="402"/>
      <c r="J146" s="402"/>
      <c r="K146" s="402"/>
      <c r="L146" s="402"/>
      <c r="M146" s="402"/>
      <c r="N146" s="402"/>
      <c r="O146" s="402"/>
      <c r="P146" s="269"/>
      <c r="Q146" s="270">
        <f>+Q28</f>
        <v>0</v>
      </c>
      <c r="R146" s="271"/>
      <c r="T146" s="400">
        <f t="shared" si="36"/>
        <v>0</v>
      </c>
      <c r="U146" s="129" t="s">
        <v>154</v>
      </c>
      <c r="V146" s="129" t="s">
        <v>247</v>
      </c>
    </row>
    <row r="147" spans="1:22" s="272" customFormat="1" ht="12.75" hidden="1" customHeight="1" x14ac:dyDescent="0.2">
      <c r="A147" s="265" t="s">
        <v>155</v>
      </c>
      <c r="B147" s="266" t="str">
        <f t="shared" si="37"/>
        <v>H</v>
      </c>
      <c r="C147" s="267"/>
      <c r="D147" s="402"/>
      <c r="E147" s="402"/>
      <c r="F147" s="402"/>
      <c r="G147" s="402"/>
      <c r="H147" s="402"/>
      <c r="I147" s="402"/>
      <c r="J147" s="402"/>
      <c r="K147" s="402"/>
      <c r="L147" s="402"/>
      <c r="M147" s="402"/>
      <c r="N147" s="402"/>
      <c r="O147" s="402"/>
      <c r="P147" s="269"/>
      <c r="Q147" s="270">
        <f>+Q29</f>
        <v>0</v>
      </c>
      <c r="R147" s="271"/>
      <c r="T147" s="400">
        <f t="shared" si="36"/>
        <v>0</v>
      </c>
      <c r="U147" s="129" t="s">
        <v>155</v>
      </c>
      <c r="V147" s="129" t="s">
        <v>247</v>
      </c>
    </row>
    <row r="148" spans="1:22" ht="12.75" hidden="1" customHeight="1" x14ac:dyDescent="0.2">
      <c r="A148" s="258"/>
      <c r="B148" s="259"/>
      <c r="C148" s="260"/>
      <c r="D148" s="273"/>
      <c r="E148" s="273"/>
      <c r="F148" s="273"/>
      <c r="G148" s="273"/>
      <c r="H148" s="273"/>
      <c r="I148" s="273"/>
      <c r="J148" s="273"/>
      <c r="K148" s="273"/>
      <c r="L148" s="273"/>
      <c r="M148" s="273"/>
      <c r="N148" s="273"/>
      <c r="O148" s="273"/>
      <c r="P148" s="262"/>
      <c r="Q148" s="263"/>
      <c r="R148" s="255"/>
      <c r="T148" s="360"/>
      <c r="U148" s="86"/>
      <c r="V148" s="86"/>
    </row>
    <row r="149" spans="1:22" ht="12.75" hidden="1" customHeight="1" x14ac:dyDescent="0.2">
      <c r="A149" s="258"/>
      <c r="B149" s="259"/>
      <c r="C149" s="260"/>
      <c r="D149" s="273"/>
      <c r="E149" s="273"/>
      <c r="F149" s="273"/>
      <c r="G149" s="273"/>
      <c r="H149" s="273"/>
      <c r="I149" s="273"/>
      <c r="J149" s="273"/>
      <c r="K149" s="273"/>
      <c r="L149" s="273"/>
      <c r="M149" s="273"/>
      <c r="N149" s="273"/>
      <c r="O149" s="273"/>
      <c r="P149" s="262"/>
      <c r="Q149" s="263"/>
      <c r="R149" s="255"/>
      <c r="T149" s="360"/>
      <c r="U149" s="86"/>
      <c r="V149" s="86"/>
    </row>
    <row r="150" spans="1:22" ht="12.75" hidden="1" customHeight="1" x14ac:dyDescent="0.2">
      <c r="A150" s="258" t="s">
        <v>211</v>
      </c>
      <c r="B150" s="259" t="str">
        <f>+B32</f>
        <v>NH</v>
      </c>
      <c r="C150" s="260" t="str">
        <f>+C32</f>
        <v>R</v>
      </c>
      <c r="D150" s="273">
        <f>+IF($B150="H",D32,IF(D$38=0,0,D32/12))</f>
        <v>0</v>
      </c>
      <c r="E150" s="273">
        <f>+IF($B150="H",E32,IF(E$38=0,0,E344-SUM($D150:D150)))</f>
        <v>0</v>
      </c>
      <c r="F150" s="273">
        <f>+IF($B150="H",F32,IF(F$38=0,0,F344-SUM($D150:E150)))</f>
        <v>0</v>
      </c>
      <c r="G150" s="273">
        <f>+IF($B150="H",G32,IF(G$38=0,0,G344-SUM($D150:F150)))</f>
        <v>0</v>
      </c>
      <c r="H150" s="273">
        <f>+IF($B150="H",H32,IF(H$38=0,0,H344-SUM($D150:G150)))</f>
        <v>0</v>
      </c>
      <c r="I150" s="273">
        <f>+IF($B150="H",I32,IF(I$38=0,0,I344-SUM($D150:H150)))</f>
        <v>0</v>
      </c>
      <c r="J150" s="273">
        <f>+IF($B150="H",J32,IF(J$38=0,0,J344-SUM($D150:I150)))</f>
        <v>0</v>
      </c>
      <c r="K150" s="273">
        <f>+IF($B150="H",K32,IF(K$38=0,0,K344-SUM($D150:J150)))</f>
        <v>0</v>
      </c>
      <c r="L150" s="273">
        <f>+IF($B150="H",L32,IF(L$38=0,0,L344-SUM($D150:K150)))</f>
        <v>0</v>
      </c>
      <c r="M150" s="273">
        <f>+IF($B150="H",M32,IF(M$38=0,0,M344-SUM($D150:L150)))</f>
        <v>0</v>
      </c>
      <c r="N150" s="273">
        <f>+IF($B150="H",N32,IF(N$38=0,0,N344-SUM($D150:M150)))</f>
        <v>0</v>
      </c>
      <c r="O150" s="273">
        <f>+IF($B150="H",O32,IF(O$38=0,0,O344-SUM($D150:N150)))</f>
        <v>0</v>
      </c>
      <c r="P150" s="262">
        <f>IF(B150="H",SUM(D150:O150),P343)</f>
        <v>0</v>
      </c>
      <c r="Q150" s="263"/>
      <c r="R150" s="255"/>
      <c r="T150" s="397">
        <f>+P150</f>
        <v>0</v>
      </c>
      <c r="U150" s="86" t="s">
        <v>156</v>
      </c>
      <c r="V150" s="86"/>
    </row>
    <row r="151" spans="1:22" ht="12.75" hidden="1" customHeight="1" x14ac:dyDescent="0.2">
      <c r="A151" s="258" t="s">
        <v>220</v>
      </c>
      <c r="B151" s="259" t="str">
        <f>+B33</f>
        <v>NH</v>
      </c>
      <c r="C151" s="260" t="str">
        <f>+C33</f>
        <v>NR</v>
      </c>
      <c r="D151" s="273">
        <f>+IF($B151="H",D33,IF(D$38=0,0,D33/12))</f>
        <v>0</v>
      </c>
      <c r="E151" s="273">
        <f>+IF($B151="H",E33,IF(E$38=0,0,E346-SUM($D151:D151)))</f>
        <v>0</v>
      </c>
      <c r="F151" s="273">
        <f>+IF($B151="H",F33,IF(F$38=0,0,F346-SUM($D151:E151)))</f>
        <v>0</v>
      </c>
      <c r="G151" s="273">
        <f>+IF($B151="H",G33,IF(G$38=0,0,G346-SUM($D151:F151)))</f>
        <v>0</v>
      </c>
      <c r="H151" s="273">
        <f>+IF($B151="H",H33,IF(H$38=0,0,H346-SUM($D151:G151)))</f>
        <v>0</v>
      </c>
      <c r="I151" s="273">
        <f>+IF($B151="H",I33,IF(I$38=0,0,I346-SUM($D151:H151)))</f>
        <v>0</v>
      </c>
      <c r="J151" s="273">
        <f>+IF($B151="H",J33,IF(J$38=0,0,J346-SUM($D151:I151)))</f>
        <v>0</v>
      </c>
      <c r="K151" s="273">
        <f>+IF($B151="H",K33,IF(K$38=0,0,K346-SUM($D151:J151)))</f>
        <v>0</v>
      </c>
      <c r="L151" s="273">
        <f>+IF($B151="H",L33,IF(L$38=0,0,L346-SUM($D151:K151)))</f>
        <v>0</v>
      </c>
      <c r="M151" s="273">
        <f>+IF($B151="H",M33,IF(M$38=0,0,M346-SUM($D151:L151)))</f>
        <v>0</v>
      </c>
      <c r="N151" s="273">
        <f>+IF($B151="H",N33,IF(N$38=0,0,N346-SUM($D151:M151)))</f>
        <v>0</v>
      </c>
      <c r="O151" s="273">
        <f>+IF($B151="H",O33,IF(O$38=0,0,O346-SUM($D151:N151)))</f>
        <v>0</v>
      </c>
      <c r="P151" s="262">
        <f>IF(B151="H",SUM(D151:O151),P345)</f>
        <v>0</v>
      </c>
      <c r="Q151" s="263"/>
      <c r="R151" s="255"/>
      <c r="T151" s="397">
        <f>+P151</f>
        <v>0</v>
      </c>
      <c r="U151" s="86" t="s">
        <v>156</v>
      </c>
      <c r="V151" s="86"/>
    </row>
    <row r="152" spans="1:22" ht="12.75" hidden="1" customHeight="1" x14ac:dyDescent="0.2">
      <c r="A152" s="264" t="s">
        <v>212</v>
      </c>
      <c r="B152" s="259" t="str">
        <f>+B34</f>
        <v>NH</v>
      </c>
      <c r="C152" s="260"/>
      <c r="D152" s="273"/>
      <c r="E152" s="273"/>
      <c r="F152" s="273"/>
      <c r="G152" s="273"/>
      <c r="H152" s="273"/>
      <c r="I152" s="273"/>
      <c r="J152" s="273"/>
      <c r="K152" s="273"/>
      <c r="L152" s="273"/>
      <c r="M152" s="273"/>
      <c r="N152" s="273"/>
      <c r="O152" s="273"/>
      <c r="P152" s="262"/>
      <c r="Q152" s="263">
        <f>+Q34</f>
        <v>0</v>
      </c>
      <c r="R152" s="255"/>
      <c r="T152" s="398">
        <f>+Q152</f>
        <v>0</v>
      </c>
      <c r="U152" s="88" t="s">
        <v>157</v>
      </c>
      <c r="V152" s="88" t="s">
        <v>247</v>
      </c>
    </row>
    <row r="153" spans="1:22" ht="12.75" hidden="1" customHeight="1" x14ac:dyDescent="0.2">
      <c r="A153" s="264" t="s">
        <v>221</v>
      </c>
      <c r="B153" s="259" t="str">
        <f>+B35</f>
        <v>NH</v>
      </c>
      <c r="C153" s="260"/>
      <c r="D153" s="273"/>
      <c r="E153" s="273"/>
      <c r="F153" s="273"/>
      <c r="G153" s="273"/>
      <c r="H153" s="273"/>
      <c r="I153" s="273"/>
      <c r="J153" s="273"/>
      <c r="K153" s="273"/>
      <c r="L153" s="273"/>
      <c r="M153" s="273"/>
      <c r="N153" s="273"/>
      <c r="O153" s="273"/>
      <c r="P153" s="262"/>
      <c r="Q153" s="263">
        <f>+Q35</f>
        <v>0</v>
      </c>
      <c r="R153" s="255"/>
      <c r="T153" s="398">
        <f>+Q153</f>
        <v>0</v>
      </c>
      <c r="U153" s="88" t="s">
        <v>157</v>
      </c>
      <c r="V153" s="88" t="s">
        <v>247</v>
      </c>
    </row>
    <row r="154" spans="1:22" ht="12.75" hidden="1" customHeight="1" x14ac:dyDescent="0.2">
      <c r="A154" s="258"/>
      <c r="B154" s="259"/>
      <c r="C154" s="260"/>
      <c r="D154" s="273"/>
      <c r="E154" s="273"/>
      <c r="F154" s="273"/>
      <c r="G154" s="273"/>
      <c r="H154" s="273"/>
      <c r="I154" s="273"/>
      <c r="J154" s="273"/>
      <c r="K154" s="273"/>
      <c r="L154" s="273"/>
      <c r="M154" s="273"/>
      <c r="N154" s="273"/>
      <c r="O154" s="273"/>
      <c r="P154" s="262"/>
      <c r="Q154" s="263"/>
      <c r="R154" s="255"/>
      <c r="T154" s="360"/>
      <c r="U154" s="86"/>
      <c r="V154" s="86"/>
    </row>
    <row r="155" spans="1:22" ht="12.75" hidden="1" customHeight="1" x14ac:dyDescent="0.2">
      <c r="A155" s="258"/>
      <c r="B155" s="259"/>
      <c r="C155" s="260"/>
      <c r="D155" s="273"/>
      <c r="E155" s="273"/>
      <c r="F155" s="273"/>
      <c r="G155" s="273"/>
      <c r="H155" s="273"/>
      <c r="I155" s="273"/>
      <c r="J155" s="273"/>
      <c r="K155" s="273"/>
      <c r="L155" s="273"/>
      <c r="M155" s="273"/>
      <c r="N155" s="273"/>
      <c r="O155" s="273"/>
      <c r="P155" s="262"/>
      <c r="Q155" s="263"/>
      <c r="R155" s="255"/>
      <c r="T155" s="360"/>
      <c r="U155" s="86"/>
      <c r="V155" s="86"/>
    </row>
    <row r="156" spans="1:22" ht="15" hidden="1" customHeight="1" x14ac:dyDescent="0.2">
      <c r="A156" s="256" t="s">
        <v>158</v>
      </c>
      <c r="B156" s="403"/>
      <c r="C156" s="394"/>
      <c r="D156" s="404"/>
      <c r="E156" s="404"/>
      <c r="F156" s="404"/>
      <c r="G156" s="404"/>
      <c r="H156" s="404"/>
      <c r="I156" s="404"/>
      <c r="J156" s="404"/>
      <c r="K156" s="404"/>
      <c r="L156" s="404"/>
      <c r="M156" s="404"/>
      <c r="N156" s="404"/>
      <c r="O156" s="404"/>
      <c r="P156" s="405"/>
      <c r="Q156" s="406"/>
      <c r="R156" s="255"/>
      <c r="T156" s="360"/>
      <c r="U156" s="86"/>
      <c r="V156" s="86"/>
    </row>
    <row r="157" spans="1:22" ht="12.75" hidden="1" customHeight="1" x14ac:dyDescent="0.2">
      <c r="A157" s="258" t="s">
        <v>159</v>
      </c>
      <c r="B157" s="259" t="str">
        <f>+B42</f>
        <v>H</v>
      </c>
      <c r="C157" s="260"/>
      <c r="D157" s="273">
        <f t="shared" ref="D157:O157" si="38">+D42</f>
        <v>0</v>
      </c>
      <c r="E157" s="273">
        <f t="shared" si="38"/>
        <v>0</v>
      </c>
      <c r="F157" s="273">
        <f t="shared" si="38"/>
        <v>0</v>
      </c>
      <c r="G157" s="273">
        <f t="shared" si="38"/>
        <v>0</v>
      </c>
      <c r="H157" s="273">
        <f t="shared" si="38"/>
        <v>0</v>
      </c>
      <c r="I157" s="273">
        <f t="shared" si="38"/>
        <v>0</v>
      </c>
      <c r="J157" s="273">
        <f t="shared" si="38"/>
        <v>0</v>
      </c>
      <c r="K157" s="273">
        <f t="shared" si="38"/>
        <v>0</v>
      </c>
      <c r="L157" s="273">
        <f t="shared" si="38"/>
        <v>0</v>
      </c>
      <c r="M157" s="273">
        <f t="shared" si="38"/>
        <v>0</v>
      </c>
      <c r="N157" s="273">
        <f t="shared" si="38"/>
        <v>0</v>
      </c>
      <c r="O157" s="273">
        <f t="shared" si="38"/>
        <v>0</v>
      </c>
      <c r="P157" s="262">
        <f>SUM(D157:O157)</f>
        <v>0</v>
      </c>
      <c r="Q157" s="263"/>
      <c r="R157" s="255"/>
      <c r="T157" s="397">
        <f>+P157</f>
        <v>0</v>
      </c>
      <c r="U157" s="89" t="s">
        <v>256</v>
      </c>
      <c r="V157" s="86"/>
    </row>
    <row r="158" spans="1:22" ht="12.75" hidden="1" customHeight="1" x14ac:dyDescent="0.2">
      <c r="A158" s="258" t="s">
        <v>141</v>
      </c>
      <c r="B158" s="259" t="str">
        <f>+B43</f>
        <v>NH</v>
      </c>
      <c r="C158" s="260"/>
      <c r="D158" s="273">
        <f>+IF(D3="SI",P347,IF(D$38=0,0,D43/12))</f>
        <v>0</v>
      </c>
      <c r="E158" s="273">
        <f>+IF(E$38=0,0,E348-SUM($D158:D158))</f>
        <v>0</v>
      </c>
      <c r="F158" s="273">
        <f>+IF(F$38=0,0,F348-SUM($D158:E158))</f>
        <v>0</v>
      </c>
      <c r="G158" s="273">
        <f>+IF(G$38=0,0,G348-SUM($D158:F158))</f>
        <v>0</v>
      </c>
      <c r="H158" s="273">
        <f>+IF(H$38=0,0,H348-SUM($D158:G158))</f>
        <v>0</v>
      </c>
      <c r="I158" s="273">
        <f>+IF(I$38=0,0,I348-SUM($D158:H158))</f>
        <v>0</v>
      </c>
      <c r="J158" s="273">
        <f>+IF(J$38=0,0,J348-SUM($D158:I158))</f>
        <v>0</v>
      </c>
      <c r="K158" s="273">
        <f>+IF(K$38=0,0,K348-SUM($D158:J158))</f>
        <v>0</v>
      </c>
      <c r="L158" s="273">
        <f>+IF(L$38=0,0,L348-SUM($D158:K158))</f>
        <v>0</v>
      </c>
      <c r="M158" s="273">
        <f>+IF(M$38=0,0,M348-SUM($D158:L158))</f>
        <v>0</v>
      </c>
      <c r="N158" s="273">
        <f>+IF(N$38=0,0,N348-SUM($D158:M158))</f>
        <v>0</v>
      </c>
      <c r="O158" s="273">
        <f>+IF(O$38=0,0,O348-SUM($D158:N158))</f>
        <v>0</v>
      </c>
      <c r="P158" s="262">
        <f>+P347</f>
        <v>0</v>
      </c>
      <c r="Q158" s="263"/>
      <c r="R158" s="255"/>
      <c r="T158" s="397">
        <f t="shared" ref="T158:T166" si="39">+P158</f>
        <v>0</v>
      </c>
      <c r="U158" s="86" t="s">
        <v>257</v>
      </c>
      <c r="V158" s="86"/>
    </row>
    <row r="159" spans="1:22" s="272" customFormat="1" ht="12.75" hidden="1" customHeight="1" x14ac:dyDescent="0.2">
      <c r="A159" s="407"/>
      <c r="B159" s="266"/>
      <c r="C159" s="267"/>
      <c r="D159" s="399"/>
      <c r="E159" s="399"/>
      <c r="F159" s="399"/>
      <c r="G159" s="399"/>
      <c r="H159" s="399"/>
      <c r="I159" s="399"/>
      <c r="J159" s="399"/>
      <c r="K159" s="399"/>
      <c r="L159" s="399"/>
      <c r="M159" s="399"/>
      <c r="N159" s="399"/>
      <c r="O159" s="399"/>
      <c r="P159" s="269"/>
      <c r="Q159" s="270"/>
      <c r="R159" s="271"/>
      <c r="T159" s="408">
        <f t="shared" si="39"/>
        <v>0</v>
      </c>
      <c r="U159" s="127"/>
      <c r="V159" s="127"/>
    </row>
    <row r="160" spans="1:22" s="272" customFormat="1" ht="12.75" hidden="1" customHeight="1" x14ac:dyDescent="0.2">
      <c r="A160" s="407"/>
      <c r="B160" s="266"/>
      <c r="C160" s="267"/>
      <c r="D160" s="399"/>
      <c r="E160" s="399"/>
      <c r="F160" s="399"/>
      <c r="G160" s="399"/>
      <c r="H160" s="399"/>
      <c r="I160" s="399"/>
      <c r="J160" s="399"/>
      <c r="K160" s="399"/>
      <c r="L160" s="399"/>
      <c r="M160" s="399"/>
      <c r="N160" s="399"/>
      <c r="O160" s="399"/>
      <c r="P160" s="269"/>
      <c r="Q160" s="270"/>
      <c r="R160" s="271"/>
      <c r="T160" s="408">
        <f t="shared" si="39"/>
        <v>0</v>
      </c>
      <c r="U160" s="127"/>
      <c r="V160" s="127"/>
    </row>
    <row r="161" spans="1:22" ht="12.75" hidden="1" customHeight="1" x14ac:dyDescent="0.2">
      <c r="A161" s="258" t="s">
        <v>436</v>
      </c>
      <c r="B161" s="259" t="str">
        <f t="shared" ref="B161:B169" si="40">+B44</f>
        <v>H</v>
      </c>
      <c r="C161" s="260"/>
      <c r="D161" s="273">
        <f t="shared" ref="D161:O161" si="41">+D44</f>
        <v>0</v>
      </c>
      <c r="E161" s="273">
        <f t="shared" si="41"/>
        <v>0</v>
      </c>
      <c r="F161" s="273">
        <f t="shared" si="41"/>
        <v>0</v>
      </c>
      <c r="G161" s="273">
        <f t="shared" si="41"/>
        <v>0</v>
      </c>
      <c r="H161" s="273">
        <f t="shared" si="41"/>
        <v>0</v>
      </c>
      <c r="I161" s="273">
        <f t="shared" si="41"/>
        <v>0</v>
      </c>
      <c r="J161" s="273">
        <f t="shared" si="41"/>
        <v>0</v>
      </c>
      <c r="K161" s="273">
        <f t="shared" si="41"/>
        <v>0</v>
      </c>
      <c r="L161" s="273">
        <f t="shared" si="41"/>
        <v>0</v>
      </c>
      <c r="M161" s="273">
        <f t="shared" si="41"/>
        <v>0</v>
      </c>
      <c r="N161" s="273">
        <f t="shared" si="41"/>
        <v>0</v>
      </c>
      <c r="O161" s="273">
        <f t="shared" si="41"/>
        <v>0</v>
      </c>
      <c r="P161" s="262">
        <f t="shared" ref="P161" si="42">SUM(D161:O161)</f>
        <v>0</v>
      </c>
      <c r="Q161" s="263"/>
      <c r="R161" s="255"/>
      <c r="T161" s="397">
        <f t="shared" si="39"/>
        <v>0</v>
      </c>
      <c r="U161" s="86" t="s">
        <v>258</v>
      </c>
      <c r="V161" s="86"/>
    </row>
    <row r="162" spans="1:22" ht="12.75" hidden="1" customHeight="1" x14ac:dyDescent="0.2">
      <c r="A162" s="258" t="s">
        <v>437</v>
      </c>
      <c r="B162" s="259" t="str">
        <f t="shared" si="40"/>
        <v>H</v>
      </c>
      <c r="C162" s="260"/>
      <c r="D162" s="273">
        <f t="shared" ref="D162:O162" si="43">+D45</f>
        <v>0</v>
      </c>
      <c r="E162" s="273">
        <f t="shared" si="43"/>
        <v>0</v>
      </c>
      <c r="F162" s="273">
        <f t="shared" si="43"/>
        <v>0</v>
      </c>
      <c r="G162" s="273">
        <f t="shared" si="43"/>
        <v>0</v>
      </c>
      <c r="H162" s="273">
        <f t="shared" si="43"/>
        <v>0</v>
      </c>
      <c r="I162" s="273">
        <f t="shared" si="43"/>
        <v>0</v>
      </c>
      <c r="J162" s="273">
        <f t="shared" si="43"/>
        <v>0</v>
      </c>
      <c r="K162" s="273">
        <f t="shared" si="43"/>
        <v>0</v>
      </c>
      <c r="L162" s="273">
        <f t="shared" si="43"/>
        <v>0</v>
      </c>
      <c r="M162" s="273">
        <f t="shared" si="43"/>
        <v>0</v>
      </c>
      <c r="N162" s="273">
        <f t="shared" si="43"/>
        <v>0</v>
      </c>
      <c r="O162" s="273">
        <f t="shared" si="43"/>
        <v>0</v>
      </c>
      <c r="P162" s="262">
        <f>SUM(D162:O162)</f>
        <v>0</v>
      </c>
      <c r="Q162" s="263"/>
      <c r="R162" s="255"/>
      <c r="T162" s="397">
        <f t="shared" si="39"/>
        <v>0</v>
      </c>
      <c r="U162" s="86" t="s">
        <v>259</v>
      </c>
      <c r="V162" s="86"/>
    </row>
    <row r="163" spans="1:22" ht="12.75" hidden="1" customHeight="1" x14ac:dyDescent="0.2">
      <c r="A163" s="258" t="s">
        <v>426</v>
      </c>
      <c r="B163" s="259" t="str">
        <f t="shared" si="40"/>
        <v>H</v>
      </c>
      <c r="C163" s="260"/>
      <c r="D163" s="273">
        <f>+D46</f>
        <v>0</v>
      </c>
      <c r="E163" s="273">
        <f t="shared" ref="E163:O163" si="44">+E46</f>
        <v>0</v>
      </c>
      <c r="F163" s="273">
        <f t="shared" si="44"/>
        <v>0</v>
      </c>
      <c r="G163" s="273">
        <f t="shared" si="44"/>
        <v>0</v>
      </c>
      <c r="H163" s="273">
        <f t="shared" si="44"/>
        <v>0</v>
      </c>
      <c r="I163" s="273">
        <f t="shared" si="44"/>
        <v>0</v>
      </c>
      <c r="J163" s="273">
        <f t="shared" si="44"/>
        <v>0</v>
      </c>
      <c r="K163" s="273">
        <f t="shared" si="44"/>
        <v>0</v>
      </c>
      <c r="L163" s="273">
        <f t="shared" si="44"/>
        <v>0</v>
      </c>
      <c r="M163" s="273">
        <f t="shared" si="44"/>
        <v>0</v>
      </c>
      <c r="N163" s="273">
        <f t="shared" si="44"/>
        <v>0</v>
      </c>
      <c r="O163" s="273">
        <f t="shared" si="44"/>
        <v>0</v>
      </c>
      <c r="P163" s="262">
        <f>+SUM(D163:O163)</f>
        <v>0</v>
      </c>
      <c r="Q163" s="263"/>
      <c r="R163" s="255"/>
      <c r="T163" s="397">
        <f t="shared" si="39"/>
        <v>0</v>
      </c>
      <c r="U163" s="86" t="s">
        <v>260</v>
      </c>
      <c r="V163" s="86"/>
    </row>
    <row r="164" spans="1:22" ht="12.75" hidden="1" customHeight="1" x14ac:dyDescent="0.2">
      <c r="A164" s="258" t="s">
        <v>438</v>
      </c>
      <c r="B164" s="259" t="str">
        <f t="shared" si="40"/>
        <v>NH</v>
      </c>
      <c r="C164" s="260"/>
      <c r="D164" s="273">
        <f>+IF($B164="H",D47,IF(D$38=0,0,D47/12))</f>
        <v>0</v>
      </c>
      <c r="E164" s="273">
        <f>+IF($B164="H",E47,IF(E$38=0,0,E350-SUM($D164:D164)))</f>
        <v>0</v>
      </c>
      <c r="F164" s="273">
        <f>+IF($B164="H",F47,IF(F$38=0,0,F350-SUM($D164:E164)))</f>
        <v>0</v>
      </c>
      <c r="G164" s="273">
        <f>+IF($B164="H",G47,IF(G$38=0,0,G350-SUM($D164:F164)))</f>
        <v>0</v>
      </c>
      <c r="H164" s="273">
        <f>+IF($B164="H",H47,IF(H$38=0,0,H350-SUM($D164:G164)))</f>
        <v>0</v>
      </c>
      <c r="I164" s="273">
        <f>+IF($B164="H",I47,IF(I$38=0,0,I350-SUM($D164:H164)))</f>
        <v>0</v>
      </c>
      <c r="J164" s="273">
        <f>+IF($B164="H",J47,IF(J$38=0,0,J350-SUM($D164:I164)))</f>
        <v>0</v>
      </c>
      <c r="K164" s="273">
        <f>+IF($B164="H",K47,IF(K$38=0,0,K350-SUM($D164:J164)))</f>
        <v>0</v>
      </c>
      <c r="L164" s="273">
        <f>+IF($B164="H",L47,IF(L$38=0,0,L350-SUM($D164:K164)))</f>
        <v>0</v>
      </c>
      <c r="M164" s="273">
        <f>+IF($B164="H",M47,IF(M$38=0,0,M350-SUM($D164:L164)))</f>
        <v>0</v>
      </c>
      <c r="N164" s="273">
        <f>+IF($B164="H",N47,IF(N$38=0,0,N350-SUM($D164:M164)))</f>
        <v>0</v>
      </c>
      <c r="O164" s="273">
        <f>+IF($B164="H",O47,IF(O$38=0,0,O350-SUM($D164:N164)))</f>
        <v>0</v>
      </c>
      <c r="P164" s="262">
        <f t="shared" ref="P164:P166" si="45">+SUM(D164:O164)</f>
        <v>0</v>
      </c>
      <c r="Q164" s="263"/>
      <c r="R164" s="255"/>
      <c r="T164" s="397">
        <f t="shared" si="39"/>
        <v>0</v>
      </c>
      <c r="U164" s="86" t="s">
        <v>261</v>
      </c>
      <c r="V164" s="86"/>
    </row>
    <row r="165" spans="1:22" ht="12.75" hidden="1" customHeight="1" x14ac:dyDescent="0.2">
      <c r="A165" s="258" t="s">
        <v>428</v>
      </c>
      <c r="B165" s="259" t="str">
        <f t="shared" si="40"/>
        <v>H</v>
      </c>
      <c r="C165" s="260"/>
      <c r="D165" s="273">
        <f>+IF($B165="H",D48,IF(D$38=0,0,D48/12))</f>
        <v>0</v>
      </c>
      <c r="E165" s="273">
        <f>+IF($B165="H",E48,IF(E$38=0,0,E352-SUM($D165:D165)))</f>
        <v>0</v>
      </c>
      <c r="F165" s="273">
        <f>+IF($B165="H",F48,IF(F$38=0,0,F352-SUM($D165:E165)))</f>
        <v>0</v>
      </c>
      <c r="G165" s="273">
        <f>+IF($B165="H",G48,IF(G$38=0,0,G352-SUM($D165:F165)))</f>
        <v>0</v>
      </c>
      <c r="H165" s="273">
        <f>+IF($B165="H",H48,IF(H$38=0,0,H352-SUM($D165:G165)))</f>
        <v>0</v>
      </c>
      <c r="I165" s="273">
        <f>+IF($B165="H",I48,IF(I$38=0,0,I352-SUM($D165:H165)))</f>
        <v>0</v>
      </c>
      <c r="J165" s="273">
        <f>+IF($B165="H",J48,IF(J$38=0,0,J352-SUM($D165:I165)))</f>
        <v>0</v>
      </c>
      <c r="K165" s="273">
        <f>+IF($B165="H",K48,IF(K$38=0,0,K352-SUM($D165:J165)))</f>
        <v>0</v>
      </c>
      <c r="L165" s="273">
        <f>+IF($B165="H",L48,IF(L$38=0,0,L352-SUM($D165:K165)))</f>
        <v>0</v>
      </c>
      <c r="M165" s="273">
        <f>+IF($B165="H",M48,IF(M$38=0,0,M352-SUM($D165:L165)))</f>
        <v>0</v>
      </c>
      <c r="N165" s="273">
        <f>+IF($B165="H",N48,IF(N$38=0,0,N352-SUM($D165:M165)))</f>
        <v>0</v>
      </c>
      <c r="O165" s="273">
        <f>+IF($B165="H",O48,IF(O$38=0,0,O352-SUM($D165:N165)))</f>
        <v>0</v>
      </c>
      <c r="P165" s="262">
        <f t="shared" si="45"/>
        <v>0</v>
      </c>
      <c r="Q165" s="263"/>
      <c r="R165" s="255"/>
      <c r="T165" s="397">
        <f t="shared" si="39"/>
        <v>0</v>
      </c>
      <c r="U165" s="86" t="s">
        <v>262</v>
      </c>
      <c r="V165" s="86"/>
    </row>
    <row r="166" spans="1:22" ht="12.75" hidden="1" customHeight="1" x14ac:dyDescent="0.2">
      <c r="A166" s="258" t="s">
        <v>435</v>
      </c>
      <c r="B166" s="259" t="str">
        <f t="shared" si="40"/>
        <v>H</v>
      </c>
      <c r="C166" s="260"/>
      <c r="D166" s="273">
        <f>+IF($B166="H",D49,IF(D$38=0,0,D49/12))</f>
        <v>0</v>
      </c>
      <c r="E166" s="273">
        <f>+IF($B166="H",E49,IF(E$38=0,0,E354-SUM($D166:D166)))</f>
        <v>0</v>
      </c>
      <c r="F166" s="273">
        <f>+IF($B166="H",F49,IF(F$38=0,0,F354-SUM($D166:E166)))</f>
        <v>0</v>
      </c>
      <c r="G166" s="273">
        <f>+IF($B166="H",G49,IF(G$38=0,0,G354-SUM($D166:F166)))</f>
        <v>0</v>
      </c>
      <c r="H166" s="273">
        <f>+IF($B166="H",H49,IF(H$38=0,0,H354-SUM($D166:G166)))</f>
        <v>0</v>
      </c>
      <c r="I166" s="273">
        <f>+IF($B166="H",I49,IF(I$38=0,0,I354-SUM($D166:H166)))</f>
        <v>0</v>
      </c>
      <c r="J166" s="273">
        <f>+IF($B166="H",J49,IF(J$38=0,0,J354-SUM($D166:I166)))</f>
        <v>0</v>
      </c>
      <c r="K166" s="273">
        <f>+IF($B166="H",K49,IF(K$38=0,0,K354-SUM($D166:J166)))</f>
        <v>0</v>
      </c>
      <c r="L166" s="273">
        <f>+IF($B166="H",L49,IF(L$38=0,0,L354-SUM($D166:K166)))</f>
        <v>0</v>
      </c>
      <c r="M166" s="273">
        <f>+IF($B166="H",M49,IF(M$38=0,0,M354-SUM($D166:L166)))</f>
        <v>0</v>
      </c>
      <c r="N166" s="273">
        <f>+IF($B166="H",N49,IF(N$38=0,0,N354-SUM($D166:M166)))</f>
        <v>0</v>
      </c>
      <c r="O166" s="273">
        <f>+IF($B166="H",O49,IF(O$38=0,0,O354-SUM($D166:N166)))</f>
        <v>0</v>
      </c>
      <c r="P166" s="262">
        <f t="shared" si="45"/>
        <v>0</v>
      </c>
      <c r="Q166" s="263"/>
      <c r="R166" s="255"/>
      <c r="T166" s="397">
        <f t="shared" si="39"/>
        <v>0</v>
      </c>
      <c r="U166" s="86" t="s">
        <v>263</v>
      </c>
      <c r="V166" s="86"/>
    </row>
    <row r="167" spans="1:22" ht="12.75" hidden="1" customHeight="1" x14ac:dyDescent="0.2">
      <c r="A167" s="264" t="s">
        <v>161</v>
      </c>
      <c r="B167" s="259" t="str">
        <f t="shared" si="40"/>
        <v>H</v>
      </c>
      <c r="C167" s="260"/>
      <c r="D167" s="273"/>
      <c r="E167" s="273"/>
      <c r="F167" s="273"/>
      <c r="G167" s="273"/>
      <c r="H167" s="273"/>
      <c r="I167" s="273"/>
      <c r="J167" s="273"/>
      <c r="K167" s="273"/>
      <c r="L167" s="273"/>
      <c r="M167" s="273"/>
      <c r="N167" s="273"/>
      <c r="O167" s="273"/>
      <c r="P167" s="262"/>
      <c r="Q167" s="263">
        <f>+Q50</f>
        <v>0</v>
      </c>
      <c r="R167" s="255"/>
      <c r="T167" s="398">
        <f>+Q167</f>
        <v>0</v>
      </c>
      <c r="U167" s="88" t="s">
        <v>264</v>
      </c>
      <c r="V167" s="88" t="s">
        <v>247</v>
      </c>
    </row>
    <row r="168" spans="1:22" ht="12.75" hidden="1" customHeight="1" x14ac:dyDescent="0.2">
      <c r="A168" s="264" t="s">
        <v>148</v>
      </c>
      <c r="B168" s="259" t="str">
        <f t="shared" si="40"/>
        <v>NH</v>
      </c>
      <c r="C168" s="260"/>
      <c r="D168" s="273"/>
      <c r="E168" s="273"/>
      <c r="F168" s="273"/>
      <c r="G168" s="273"/>
      <c r="H168" s="273"/>
      <c r="I168" s="273"/>
      <c r="J168" s="273"/>
      <c r="K168" s="273"/>
      <c r="L168" s="273"/>
      <c r="M168" s="273"/>
      <c r="N168" s="273"/>
      <c r="O168" s="273"/>
      <c r="P168" s="262"/>
      <c r="Q168" s="263">
        <f>+Q51</f>
        <v>0</v>
      </c>
      <c r="R168" s="255"/>
      <c r="T168" s="398">
        <f t="shared" ref="T168:T178" si="46">+Q168</f>
        <v>0</v>
      </c>
      <c r="U168" s="88" t="s">
        <v>265</v>
      </c>
      <c r="V168" s="88" t="s">
        <v>247</v>
      </c>
    </row>
    <row r="169" spans="1:22" s="272" customFormat="1" ht="12.75" hidden="1" customHeight="1" x14ac:dyDescent="0.2">
      <c r="A169" s="265" t="s">
        <v>149</v>
      </c>
      <c r="B169" s="266" t="str">
        <f t="shared" si="40"/>
        <v>H</v>
      </c>
      <c r="C169" s="267"/>
      <c r="D169" s="399"/>
      <c r="E169" s="399"/>
      <c r="F169" s="399"/>
      <c r="G169" s="399"/>
      <c r="H169" s="399"/>
      <c r="I169" s="399"/>
      <c r="J169" s="399"/>
      <c r="K169" s="399"/>
      <c r="L169" s="399"/>
      <c r="M169" s="399"/>
      <c r="N169" s="399"/>
      <c r="O169" s="399"/>
      <c r="P169" s="269"/>
      <c r="Q169" s="270">
        <f>+Q52</f>
        <v>0</v>
      </c>
      <c r="R169" s="271"/>
      <c r="T169" s="400">
        <f t="shared" si="46"/>
        <v>0</v>
      </c>
      <c r="U169" s="129" t="s">
        <v>266</v>
      </c>
      <c r="V169" s="129" t="s">
        <v>247</v>
      </c>
    </row>
    <row r="170" spans="1:22" s="272" customFormat="1" ht="12.75" hidden="1" customHeight="1" x14ac:dyDescent="0.2">
      <c r="A170" s="265" t="s">
        <v>150</v>
      </c>
      <c r="B170" s="266" t="str">
        <f>+B163</f>
        <v>H</v>
      </c>
      <c r="C170" s="267"/>
      <c r="D170" s="401">
        <f>MIN(SUM($D$15:D15,$D$46:D46),Tablas!$G$3*0.4/12*MONTH(D$4))-SUM($C$170:C$170,$C$141:D$141)</f>
        <v>0</v>
      </c>
      <c r="E170" s="401">
        <f>MIN(SUM($D$15:E15,$D$46:E46),Tablas!$G$3*0.4/12*MONTH(E$4))-SUM($C$170:D$170,$C$141:E$141)</f>
        <v>0</v>
      </c>
      <c r="F170" s="401">
        <f>MIN(SUM($D$15:F15,$D$46:F46),Tablas!$G$3*0.4/12*MONTH(F$4))-SUM($C$170:E$170,$C$141:F$141)</f>
        <v>0</v>
      </c>
      <c r="G170" s="401">
        <f>MIN(SUM($D$15:G15,$D$46:G46),Tablas!$G$3*0.4/12*MONTH(G$4))-SUM($C$170:F$170,$C$141:G$141)</f>
        <v>0</v>
      </c>
      <c r="H170" s="401">
        <f>MIN(SUM($D$15:H15,$D$46:H46),Tablas!$G$3*0.4/12*MONTH(H$4))-SUM($C$170:G$170,$C$141:H$141)</f>
        <v>0</v>
      </c>
      <c r="I170" s="401">
        <f>MIN(SUM($D$15:I15,$D$46:I46),Tablas!$G$3*0.4/12*MONTH(I$4))-SUM($C$170:H$170,$C$141:I$141)</f>
        <v>0</v>
      </c>
      <c r="J170" s="401">
        <f>MIN(SUM($D$15:J15,$D$46:J46),Tablas!$G$3*0.4/12*MONTH(J$4))-SUM($C$170:I$170,$C$141:J$141)</f>
        <v>0</v>
      </c>
      <c r="K170" s="401">
        <f>MIN(SUM($D$15:K15,$D$46:K46),Tablas!$G$3*0.4/12*MONTH(K$4))-SUM($C$170:J$170,$C$141:K$141)</f>
        <v>0</v>
      </c>
      <c r="L170" s="401">
        <f>MIN(SUM($D$15:L15,$D$46:L46),Tablas!$G$3*0.4/12*MONTH(L$4))-SUM($C$170:K$170,$C$141:L$141)</f>
        <v>0</v>
      </c>
      <c r="M170" s="401">
        <f>MIN(SUM($D$15:M15,$D$46:M46),Tablas!$G$3*0.4/12*MONTH(M$4))-SUM($C$170:L$170,$C$141:M$141)</f>
        <v>0</v>
      </c>
      <c r="N170" s="401">
        <f>MIN(SUM($D$15:N15,$D$46:N46),Tablas!$G$3*0.4/12*MONTH(N$4))-SUM($C$170:M$170,$C$141:N$141)</f>
        <v>0</v>
      </c>
      <c r="O170" s="401">
        <f>MIN(SUM($D$15:O15,$D$46:O46),Tablas!$G$3*0.4/12*MONTH(O$4))-SUM($C$170:N$170,$C$141:O$141)</f>
        <v>0</v>
      </c>
      <c r="P170" s="269"/>
      <c r="Q170" s="270">
        <f>SUM(D170:O170)</f>
        <v>0</v>
      </c>
      <c r="R170" s="271"/>
      <c r="T170" s="400">
        <f t="shared" si="46"/>
        <v>0</v>
      </c>
      <c r="U170" s="129" t="s">
        <v>267</v>
      </c>
      <c r="V170" s="129" t="s">
        <v>247</v>
      </c>
    </row>
    <row r="171" spans="1:22" s="272" customFormat="1" ht="12.75" hidden="1" customHeight="1" x14ac:dyDescent="0.2">
      <c r="A171" s="265" t="s">
        <v>315</v>
      </c>
      <c r="B171" s="266" t="str">
        <f t="shared" ref="B171:B176" si="47">+B53</f>
        <v>H</v>
      </c>
      <c r="C171" s="267"/>
      <c r="D171" s="399"/>
      <c r="E171" s="399"/>
      <c r="F171" s="399"/>
      <c r="G171" s="399"/>
      <c r="H171" s="399"/>
      <c r="I171" s="399"/>
      <c r="J171" s="399"/>
      <c r="K171" s="399"/>
      <c r="L171" s="399"/>
      <c r="M171" s="399"/>
      <c r="N171" s="399"/>
      <c r="O171" s="399"/>
      <c r="P171" s="269"/>
      <c r="Q171" s="270">
        <f>+Q53</f>
        <v>0</v>
      </c>
      <c r="R171" s="271"/>
      <c r="T171" s="400">
        <f t="shared" si="46"/>
        <v>0</v>
      </c>
      <c r="U171" s="129" t="s">
        <v>316</v>
      </c>
      <c r="V171" s="129" t="s">
        <v>247</v>
      </c>
    </row>
    <row r="172" spans="1:22" s="272" customFormat="1" ht="12.75" hidden="1" customHeight="1" x14ac:dyDescent="0.2">
      <c r="A172" s="265" t="s">
        <v>151</v>
      </c>
      <c r="B172" s="266" t="str">
        <f t="shared" si="47"/>
        <v>NH</v>
      </c>
      <c r="C172" s="267"/>
      <c r="D172" s="399"/>
      <c r="E172" s="399"/>
      <c r="F172" s="399"/>
      <c r="G172" s="399"/>
      <c r="H172" s="399"/>
      <c r="I172" s="399"/>
      <c r="J172" s="399"/>
      <c r="K172" s="399"/>
      <c r="L172" s="399"/>
      <c r="M172" s="399"/>
      <c r="N172" s="399"/>
      <c r="O172" s="399"/>
      <c r="P172" s="269"/>
      <c r="Q172" s="270">
        <f>+P47+Q54-P164</f>
        <v>0</v>
      </c>
      <c r="R172" s="271"/>
      <c r="T172" s="400">
        <f t="shared" si="46"/>
        <v>0</v>
      </c>
      <c r="U172" s="129" t="s">
        <v>268</v>
      </c>
      <c r="V172" s="129" t="s">
        <v>247</v>
      </c>
    </row>
    <row r="173" spans="1:22" s="272" customFormat="1" ht="12.75" hidden="1" customHeight="1" x14ac:dyDescent="0.2">
      <c r="A173" s="265" t="s">
        <v>152</v>
      </c>
      <c r="B173" s="266" t="str">
        <f t="shared" si="47"/>
        <v>H</v>
      </c>
      <c r="C173" s="267"/>
      <c r="D173" s="399"/>
      <c r="E173" s="399"/>
      <c r="F173" s="399"/>
      <c r="G173" s="399"/>
      <c r="H173" s="399"/>
      <c r="I173" s="399"/>
      <c r="J173" s="399"/>
      <c r="K173" s="399"/>
      <c r="L173" s="399"/>
      <c r="M173" s="399"/>
      <c r="N173" s="399"/>
      <c r="O173" s="399"/>
      <c r="P173" s="269"/>
      <c r="Q173" s="270">
        <f>+P48+Q55-P165</f>
        <v>0</v>
      </c>
      <c r="R173" s="271"/>
      <c r="T173" s="400">
        <f t="shared" si="46"/>
        <v>0</v>
      </c>
      <c r="U173" s="129" t="s">
        <v>269</v>
      </c>
      <c r="V173" s="129" t="s">
        <v>247</v>
      </c>
    </row>
    <row r="174" spans="1:22" s="272" customFormat="1" ht="12.75" hidden="1" customHeight="1" x14ac:dyDescent="0.2">
      <c r="A174" s="265" t="s">
        <v>153</v>
      </c>
      <c r="B174" s="266" t="str">
        <f t="shared" si="47"/>
        <v>H</v>
      </c>
      <c r="C174" s="267"/>
      <c r="D174" s="399"/>
      <c r="E174" s="399"/>
      <c r="F174" s="399"/>
      <c r="G174" s="399"/>
      <c r="H174" s="399"/>
      <c r="I174" s="399"/>
      <c r="J174" s="399"/>
      <c r="K174" s="399"/>
      <c r="L174" s="399"/>
      <c r="M174" s="399"/>
      <c r="N174" s="399"/>
      <c r="O174" s="399"/>
      <c r="P174" s="269"/>
      <c r="Q174" s="270">
        <f>+P49+Q56-P166</f>
        <v>0</v>
      </c>
      <c r="R174" s="271"/>
      <c r="T174" s="400">
        <f t="shared" si="46"/>
        <v>0</v>
      </c>
      <c r="U174" s="129" t="s">
        <v>270</v>
      </c>
      <c r="V174" s="129" t="s">
        <v>247</v>
      </c>
    </row>
    <row r="175" spans="1:22" s="272" customFormat="1" ht="12.75" hidden="1" customHeight="1" x14ac:dyDescent="0.2">
      <c r="A175" s="265" t="s">
        <v>154</v>
      </c>
      <c r="B175" s="266" t="str">
        <f t="shared" si="47"/>
        <v>H</v>
      </c>
      <c r="C175" s="267"/>
      <c r="D175" s="399"/>
      <c r="E175" s="399"/>
      <c r="F175" s="399"/>
      <c r="G175" s="399"/>
      <c r="H175" s="399"/>
      <c r="I175" s="399"/>
      <c r="J175" s="399"/>
      <c r="K175" s="399"/>
      <c r="L175" s="399"/>
      <c r="M175" s="399"/>
      <c r="N175" s="399"/>
      <c r="O175" s="399"/>
      <c r="P175" s="269"/>
      <c r="Q175" s="270">
        <f>+Q57</f>
        <v>0</v>
      </c>
      <c r="R175" s="271"/>
      <c r="T175" s="400">
        <f t="shared" si="46"/>
        <v>0</v>
      </c>
      <c r="U175" s="129" t="s">
        <v>271</v>
      </c>
      <c r="V175" s="129" t="s">
        <v>247</v>
      </c>
    </row>
    <row r="176" spans="1:22" s="272" customFormat="1" ht="12.75" hidden="1" customHeight="1" x14ac:dyDescent="0.2">
      <c r="A176" s="265" t="s">
        <v>155</v>
      </c>
      <c r="B176" s="266" t="str">
        <f t="shared" si="47"/>
        <v>H</v>
      </c>
      <c r="C176" s="267"/>
      <c r="D176" s="399"/>
      <c r="E176" s="399"/>
      <c r="F176" s="399"/>
      <c r="G176" s="399"/>
      <c r="H176" s="399"/>
      <c r="I176" s="399"/>
      <c r="J176" s="399"/>
      <c r="K176" s="399"/>
      <c r="L176" s="399"/>
      <c r="M176" s="399"/>
      <c r="N176" s="399"/>
      <c r="O176" s="399"/>
      <c r="P176" s="269"/>
      <c r="Q176" s="270">
        <f>+Q58</f>
        <v>0</v>
      </c>
      <c r="R176" s="271"/>
      <c r="T176" s="400">
        <f t="shared" si="46"/>
        <v>0</v>
      </c>
      <c r="U176" s="129" t="s">
        <v>272</v>
      </c>
      <c r="V176" s="129" t="s">
        <v>247</v>
      </c>
    </row>
    <row r="177" spans="1:22" ht="12.75" hidden="1" customHeight="1" x14ac:dyDescent="0.2">
      <c r="A177" s="258"/>
      <c r="B177" s="259"/>
      <c r="C177" s="260"/>
      <c r="D177" s="273"/>
      <c r="E177" s="273"/>
      <c r="F177" s="273"/>
      <c r="G177" s="273"/>
      <c r="H177" s="273"/>
      <c r="I177" s="273"/>
      <c r="J177" s="273"/>
      <c r="K177" s="273"/>
      <c r="L177" s="273"/>
      <c r="M177" s="273"/>
      <c r="N177" s="273"/>
      <c r="O177" s="273"/>
      <c r="P177" s="262"/>
      <c r="Q177" s="263"/>
      <c r="R177" s="255"/>
      <c r="T177" s="398">
        <f t="shared" si="46"/>
        <v>0</v>
      </c>
      <c r="U177" s="86"/>
      <c r="V177" s="86"/>
    </row>
    <row r="178" spans="1:22" ht="12.75" hidden="1" customHeight="1" x14ac:dyDescent="0.2">
      <c r="A178" s="258"/>
      <c r="B178" s="259"/>
      <c r="C178" s="260"/>
      <c r="D178" s="273"/>
      <c r="E178" s="273"/>
      <c r="F178" s="273"/>
      <c r="G178" s="273"/>
      <c r="H178" s="273"/>
      <c r="I178" s="273"/>
      <c r="J178" s="273"/>
      <c r="K178" s="273"/>
      <c r="L178" s="273"/>
      <c r="M178" s="273"/>
      <c r="N178" s="273"/>
      <c r="O178" s="273"/>
      <c r="P178" s="262"/>
      <c r="Q178" s="263"/>
      <c r="R178" s="255"/>
      <c r="T178" s="398">
        <f t="shared" si="46"/>
        <v>0</v>
      </c>
      <c r="U178" s="86"/>
      <c r="V178" s="86"/>
    </row>
    <row r="179" spans="1:22" ht="12.75" hidden="1" customHeight="1" x14ac:dyDescent="0.2">
      <c r="A179" s="258" t="s">
        <v>156</v>
      </c>
      <c r="B179" s="259" t="str">
        <f>+B61</f>
        <v>NH</v>
      </c>
      <c r="C179" s="260"/>
      <c r="D179" s="273">
        <f>+IF($B179="H",D61,IF(D$38=0,0,D61/12))</f>
        <v>0</v>
      </c>
      <c r="E179" s="273">
        <f>+IF($B179="H",E61,IF(E$38=0,0,E356-SUM($D179:D179)))</f>
        <v>0</v>
      </c>
      <c r="F179" s="273">
        <f>+IF($B179="H",F61,IF(F$38=0,0,F356-SUM($D179:E179)))</f>
        <v>0</v>
      </c>
      <c r="G179" s="273">
        <f>+IF($B179="H",G61,IF(G$38=0,0,G356-SUM($D179:F179)))</f>
        <v>0</v>
      </c>
      <c r="H179" s="273">
        <f>+IF($B179="H",H61,IF(H$38=0,0,H356-SUM($D179:G179)))</f>
        <v>0</v>
      </c>
      <c r="I179" s="273">
        <f>+IF($B179="H",I61,IF(I$38=0,0,I356-SUM($D179:H179)))</f>
        <v>0</v>
      </c>
      <c r="J179" s="273">
        <f>+IF($B179="H",J61,IF(J$38=0,0,J356-SUM($D179:I179)))</f>
        <v>0</v>
      </c>
      <c r="K179" s="273">
        <f>+IF($B179="H",K61,IF(K$38=0,0,K356-SUM($D179:J179)))</f>
        <v>0</v>
      </c>
      <c r="L179" s="273">
        <f>+IF($B179="H",L61,IF(L$38=0,0,L356-SUM($D179:K179)))</f>
        <v>0</v>
      </c>
      <c r="M179" s="273">
        <f>+IF($B179="H",M61,IF(M$38=0,0,M356-SUM($D179:L179)))</f>
        <v>0</v>
      </c>
      <c r="N179" s="273">
        <f>+IF($B179="H",N61,IF(N$38=0,0,N356-SUM($D179:M179)))</f>
        <v>0</v>
      </c>
      <c r="O179" s="273">
        <f>+IF($B179="H",O61,IF(O$38=0,0,O356-SUM($D179:N179)))</f>
        <v>0</v>
      </c>
      <c r="P179" s="262">
        <f>IF(B179="H",SUM(D179:O179),P355)</f>
        <v>0</v>
      </c>
      <c r="Q179" s="263"/>
      <c r="R179" s="255"/>
      <c r="T179" s="397">
        <f>+P179</f>
        <v>0</v>
      </c>
      <c r="U179" s="86" t="s">
        <v>273</v>
      </c>
      <c r="V179" s="86"/>
    </row>
    <row r="180" spans="1:22" ht="12.75" hidden="1" customHeight="1" x14ac:dyDescent="0.2">
      <c r="A180" s="264" t="s">
        <v>157</v>
      </c>
      <c r="B180" s="259" t="str">
        <f>+B62</f>
        <v>NH</v>
      </c>
      <c r="C180" s="260"/>
      <c r="D180" s="273"/>
      <c r="E180" s="273"/>
      <c r="F180" s="273"/>
      <c r="G180" s="273"/>
      <c r="H180" s="273"/>
      <c r="I180" s="273"/>
      <c r="J180" s="273"/>
      <c r="K180" s="273"/>
      <c r="L180" s="273"/>
      <c r="M180" s="273"/>
      <c r="N180" s="273"/>
      <c r="O180" s="273"/>
      <c r="P180" s="262"/>
      <c r="Q180" s="263">
        <f>+Q62</f>
        <v>0</v>
      </c>
      <c r="R180" s="255"/>
      <c r="T180" s="398">
        <f>+Q180</f>
        <v>0</v>
      </c>
      <c r="U180" s="88" t="s">
        <v>274</v>
      </c>
      <c r="V180" s="88" t="s">
        <v>247</v>
      </c>
    </row>
    <row r="181" spans="1:22" ht="12.75" hidden="1" customHeight="1" x14ac:dyDescent="0.2">
      <c r="A181" s="258"/>
      <c r="B181" s="259"/>
      <c r="C181" s="260"/>
      <c r="D181" s="273"/>
      <c r="E181" s="273"/>
      <c r="F181" s="273"/>
      <c r="G181" s="273"/>
      <c r="H181" s="273"/>
      <c r="I181" s="273"/>
      <c r="J181" s="273"/>
      <c r="K181" s="273"/>
      <c r="L181" s="273"/>
      <c r="M181" s="273"/>
      <c r="N181" s="273"/>
      <c r="O181" s="273"/>
      <c r="P181" s="262"/>
      <c r="Q181" s="263"/>
      <c r="R181" s="255"/>
      <c r="T181" s="360"/>
      <c r="U181" s="88"/>
      <c r="V181" s="88"/>
    </row>
    <row r="182" spans="1:22" ht="12.75" hidden="1" customHeight="1" x14ac:dyDescent="0.2">
      <c r="A182" s="258"/>
      <c r="B182" s="259"/>
      <c r="C182" s="260"/>
      <c r="D182" s="273"/>
      <c r="E182" s="273"/>
      <c r="F182" s="273"/>
      <c r="G182" s="273"/>
      <c r="H182" s="273"/>
      <c r="I182" s="273"/>
      <c r="J182" s="273"/>
      <c r="K182" s="273"/>
      <c r="L182" s="273"/>
      <c r="M182" s="273"/>
      <c r="N182" s="273"/>
      <c r="O182" s="273"/>
      <c r="P182" s="262"/>
      <c r="Q182" s="263"/>
      <c r="R182" s="255"/>
      <c r="T182" s="360"/>
      <c r="U182" s="86"/>
      <c r="V182" s="86"/>
    </row>
    <row r="183" spans="1:22" ht="12.75" hidden="1" customHeight="1" x14ac:dyDescent="0.2">
      <c r="A183" s="280" t="s">
        <v>244</v>
      </c>
      <c r="B183" s="259"/>
      <c r="C183" s="260"/>
      <c r="D183" s="409">
        <f t="shared" ref="D183:O183" si="48">+SUM(D124:D135,D150:D151,D157:D166,D179:D179)</f>
        <v>2200000</v>
      </c>
      <c r="E183" s="409">
        <f t="shared" si="48"/>
        <v>2200000</v>
      </c>
      <c r="F183" s="409">
        <f t="shared" si="48"/>
        <v>2200000</v>
      </c>
      <c r="G183" s="409">
        <f t="shared" si="48"/>
        <v>2200000</v>
      </c>
      <c r="H183" s="409">
        <f t="shared" si="48"/>
        <v>2200000</v>
      </c>
      <c r="I183" s="409">
        <f t="shared" si="48"/>
        <v>2200000</v>
      </c>
      <c r="J183" s="409">
        <f t="shared" si="48"/>
        <v>2200000</v>
      </c>
      <c r="K183" s="409">
        <f t="shared" si="48"/>
        <v>2200000</v>
      </c>
      <c r="L183" s="409">
        <f t="shared" si="48"/>
        <v>2200000</v>
      </c>
      <c r="M183" s="409">
        <f t="shared" si="48"/>
        <v>2200000</v>
      </c>
      <c r="N183" s="409">
        <f t="shared" si="48"/>
        <v>2200000</v>
      </c>
      <c r="O183" s="409">
        <f t="shared" si="48"/>
        <v>2200000</v>
      </c>
      <c r="P183" s="262">
        <f>+SUM(P124:P182)</f>
        <v>26400000</v>
      </c>
      <c r="Q183" s="263"/>
      <c r="R183" s="255"/>
      <c r="T183" s="360"/>
      <c r="U183" s="86"/>
      <c r="V183" s="86"/>
    </row>
    <row r="184" spans="1:22" ht="12.75" hidden="1" customHeight="1" x14ac:dyDescent="0.2">
      <c r="A184" s="284" t="s">
        <v>229</v>
      </c>
      <c r="B184" s="259"/>
      <c r="C184" s="260"/>
      <c r="D184" s="410"/>
      <c r="E184" s="410"/>
      <c r="F184" s="410"/>
      <c r="G184" s="410"/>
      <c r="H184" s="410"/>
      <c r="I184" s="410"/>
      <c r="J184" s="410"/>
      <c r="K184" s="410"/>
      <c r="L184" s="410"/>
      <c r="M184" s="410"/>
      <c r="N184" s="410"/>
      <c r="O184" s="410"/>
      <c r="P184" s="273"/>
      <c r="Q184" s="411">
        <f>+SUM(Q124:Q182)</f>
        <v>0</v>
      </c>
      <c r="R184" s="255"/>
      <c r="T184" s="360"/>
      <c r="U184" s="86"/>
      <c r="V184" s="86"/>
    </row>
    <row r="185" spans="1:22" ht="12.75" hidden="1" customHeight="1" x14ac:dyDescent="0.2">
      <c r="A185" s="280" t="s">
        <v>245</v>
      </c>
      <c r="B185" s="259"/>
      <c r="C185" s="260"/>
      <c r="D185" s="409">
        <f>SUM(D183:D184)</f>
        <v>2200000</v>
      </c>
      <c r="E185" s="409">
        <f t="shared" ref="E185:O185" si="49">SUM(E183:E184)</f>
        <v>2200000</v>
      </c>
      <c r="F185" s="409">
        <f t="shared" si="49"/>
        <v>2200000</v>
      </c>
      <c r="G185" s="409">
        <f t="shared" si="49"/>
        <v>2200000</v>
      </c>
      <c r="H185" s="409">
        <f t="shared" si="49"/>
        <v>2200000</v>
      </c>
      <c r="I185" s="409">
        <f t="shared" si="49"/>
        <v>2200000</v>
      </c>
      <c r="J185" s="409">
        <f t="shared" si="49"/>
        <v>2200000</v>
      </c>
      <c r="K185" s="409">
        <f t="shared" si="49"/>
        <v>2200000</v>
      </c>
      <c r="L185" s="409">
        <f t="shared" si="49"/>
        <v>2200000</v>
      </c>
      <c r="M185" s="409">
        <f t="shared" si="49"/>
        <v>2200000</v>
      </c>
      <c r="N185" s="409">
        <f t="shared" si="49"/>
        <v>2200000</v>
      </c>
      <c r="O185" s="409">
        <f t="shared" si="49"/>
        <v>2200000</v>
      </c>
      <c r="P185" s="262"/>
      <c r="Q185" s="263"/>
      <c r="R185" s="111">
        <f>+P183+Q184</f>
        <v>26400000</v>
      </c>
      <c r="T185" s="360"/>
      <c r="U185" s="86"/>
      <c r="V185" s="86"/>
    </row>
    <row r="186" spans="1:22" ht="15" hidden="1" customHeight="1" x14ac:dyDescent="0.2">
      <c r="A186" s="391"/>
      <c r="B186" s="412"/>
      <c r="C186" s="392"/>
      <c r="D186" s="393"/>
      <c r="E186" s="393"/>
      <c r="F186" s="393"/>
      <c r="G186" s="393"/>
      <c r="H186" s="393"/>
      <c r="I186" s="393"/>
      <c r="J186" s="393"/>
      <c r="K186" s="393"/>
      <c r="L186" s="393"/>
      <c r="M186" s="393"/>
      <c r="N186" s="393"/>
      <c r="O186" s="393"/>
      <c r="P186" s="413"/>
      <c r="Q186" s="414"/>
      <c r="T186" s="360"/>
      <c r="U186" s="86"/>
      <c r="V186" s="86"/>
    </row>
    <row r="187" spans="1:22" ht="15" hidden="1" customHeight="1" x14ac:dyDescent="0.2">
      <c r="A187" s="349"/>
      <c r="B187" s="347"/>
      <c r="C187" s="75"/>
      <c r="D187" s="415"/>
      <c r="E187" s="415"/>
      <c r="F187" s="415"/>
      <c r="G187" s="415"/>
      <c r="H187" s="415"/>
      <c r="I187" s="415"/>
      <c r="J187" s="415"/>
      <c r="K187" s="415"/>
      <c r="L187" s="415"/>
      <c r="M187" s="415"/>
      <c r="N187" s="415"/>
      <c r="O187" s="415"/>
      <c r="P187" s="318"/>
      <c r="Q187" s="319"/>
      <c r="T187" s="360"/>
      <c r="U187" s="86"/>
      <c r="V187" s="86"/>
    </row>
    <row r="188" spans="1:22" ht="6" hidden="1" customHeight="1" x14ac:dyDescent="0.2">
      <c r="A188" s="416"/>
      <c r="B188" s="417"/>
      <c r="C188" s="417"/>
      <c r="D188" s="418"/>
      <c r="E188" s="418"/>
      <c r="F188" s="418"/>
      <c r="G188" s="418"/>
      <c r="H188" s="418"/>
      <c r="I188" s="418"/>
      <c r="J188" s="418"/>
      <c r="K188" s="418"/>
      <c r="L188" s="418"/>
      <c r="M188" s="418"/>
      <c r="N188" s="418"/>
      <c r="O188" s="418"/>
      <c r="P188" s="419"/>
      <c r="Q188" s="420"/>
      <c r="T188" s="360"/>
      <c r="U188" s="86"/>
      <c r="V188" s="86"/>
    </row>
    <row r="189" spans="1:22" s="425" customFormat="1" ht="14.45" hidden="1" customHeight="1" x14ac:dyDescent="0.2">
      <c r="A189" s="421" t="s">
        <v>197</v>
      </c>
      <c r="B189" s="422"/>
      <c r="C189" s="422"/>
      <c r="D189" s="404"/>
      <c r="E189" s="404"/>
      <c r="F189" s="404"/>
      <c r="G189" s="404"/>
      <c r="H189" s="404"/>
      <c r="I189" s="404"/>
      <c r="J189" s="404"/>
      <c r="K189" s="404"/>
      <c r="L189" s="404"/>
      <c r="M189" s="404"/>
      <c r="N189" s="404"/>
      <c r="O189" s="404"/>
      <c r="P189" s="423"/>
      <c r="Q189" s="424"/>
      <c r="T189" s="426"/>
      <c r="U189" s="89"/>
      <c r="V189" s="89"/>
    </row>
    <row r="190" spans="1:22" s="425" customFormat="1" ht="14.45" hidden="1" customHeight="1" x14ac:dyDescent="0.2">
      <c r="A190" s="427" t="s">
        <v>178</v>
      </c>
      <c r="B190" s="428"/>
      <c r="C190" s="428"/>
      <c r="D190" s="429">
        <f>+D193</f>
        <v>183333.33333333334</v>
      </c>
      <c r="E190" s="429">
        <f>+E193</f>
        <v>183333.33333333334</v>
      </c>
      <c r="F190" s="429">
        <f t="shared" ref="F190:O190" si="50">+F193</f>
        <v>183333.33333333334</v>
      </c>
      <c r="G190" s="429">
        <f t="shared" si="50"/>
        <v>183333.33333333334</v>
      </c>
      <c r="H190" s="429">
        <f t="shared" si="50"/>
        <v>183333.33333333334</v>
      </c>
      <c r="I190" s="429">
        <f t="shared" si="50"/>
        <v>183333.33333333334</v>
      </c>
      <c r="J190" s="429">
        <f t="shared" si="50"/>
        <v>183333.33333333334</v>
      </c>
      <c r="K190" s="429">
        <f t="shared" si="50"/>
        <v>183333.33333333334</v>
      </c>
      <c r="L190" s="429">
        <f t="shared" si="50"/>
        <v>183333.33333333334</v>
      </c>
      <c r="M190" s="429">
        <f t="shared" si="50"/>
        <v>183333.33333333334</v>
      </c>
      <c r="N190" s="429">
        <f t="shared" si="50"/>
        <v>183333.33333333334</v>
      </c>
      <c r="O190" s="429">
        <f t="shared" si="50"/>
        <v>183333.33333333334</v>
      </c>
      <c r="P190" s="430"/>
      <c r="Q190" s="424"/>
      <c r="T190" s="426"/>
      <c r="U190" s="89"/>
      <c r="V190" s="89"/>
    </row>
    <row r="191" spans="1:22" s="425" customFormat="1" ht="13.9" hidden="1" customHeight="1" x14ac:dyDescent="0.2">
      <c r="A191" s="427" t="s">
        <v>202</v>
      </c>
      <c r="B191" s="428"/>
      <c r="C191" s="428"/>
      <c r="D191" s="429">
        <f>+Tablas!D33/12</f>
        <v>196680.43583333332</v>
      </c>
      <c r="E191" s="429">
        <f>+IF(E2="SI",Tablas!E33/12,Tablas!D33/12)</f>
        <v>196680.43583333332</v>
      </c>
      <c r="F191" s="429">
        <f>+IF(F2="SI",Tablas!F33/12,Tablas!E33/12)</f>
        <v>196680.43583333332</v>
      </c>
      <c r="G191" s="429">
        <f>+IF(G2="SI",Tablas!G33/12,Tablas!F33/12)</f>
        <v>196680.43583333332</v>
      </c>
      <c r="H191" s="429">
        <f>+IF(H2="SI",Tablas!H33/12,Tablas!G33/12)</f>
        <v>196680.43583333332</v>
      </c>
      <c r="I191" s="429">
        <f>+IF(I2="SI",Tablas!I33/12,Tablas!H33/12)</f>
        <v>196680.43583333332</v>
      </c>
      <c r="J191" s="429">
        <f>+IF(J2="SI",Tablas!J33/12,Tablas!I33/12)</f>
        <v>196680.43583333332</v>
      </c>
      <c r="K191" s="429">
        <f>+IF(K2="SI",Tablas!K33/12,Tablas!J33/12)</f>
        <v>196680.43583333332</v>
      </c>
      <c r="L191" s="429">
        <f>+IF(L2="SI",Tablas!L33/12,Tablas!K33/12)</f>
        <v>196680.43583333332</v>
      </c>
      <c r="M191" s="429">
        <f>+IF(M2="SI",Tablas!M33/12,Tablas!L33/12)</f>
        <v>196680.43583333332</v>
      </c>
      <c r="N191" s="429">
        <f>+IF(N2="SI",Tablas!N33/12,Tablas!M33/12)</f>
        <v>196680.43583333332</v>
      </c>
      <c r="O191" s="429">
        <f>+IF(O2="SI",Tablas!O33/12,Tablas!N33/12)</f>
        <v>196680.43583333332</v>
      </c>
      <c r="P191" s="430"/>
      <c r="Q191" s="424"/>
      <c r="T191" s="426"/>
      <c r="U191" s="89"/>
      <c r="V191" s="89"/>
    </row>
    <row r="192" spans="1:22" s="425" customFormat="1" ht="14.45" hidden="1" customHeight="1" x14ac:dyDescent="0.2">
      <c r="A192" s="431" t="s">
        <v>439</v>
      </c>
      <c r="B192" s="428"/>
      <c r="C192" s="428"/>
      <c r="D192" s="429">
        <f>+MIN(D190:D191)</f>
        <v>183333.33333333334</v>
      </c>
      <c r="E192" s="429">
        <f t="shared" ref="E192:O192" si="51">+MIN(E190:E191)</f>
        <v>183333.33333333334</v>
      </c>
      <c r="F192" s="429">
        <f t="shared" si="51"/>
        <v>183333.33333333334</v>
      </c>
      <c r="G192" s="429">
        <f t="shared" si="51"/>
        <v>183333.33333333334</v>
      </c>
      <c r="H192" s="429">
        <f t="shared" si="51"/>
        <v>183333.33333333334</v>
      </c>
      <c r="I192" s="429">
        <f t="shared" si="51"/>
        <v>183333.33333333334</v>
      </c>
      <c r="J192" s="429">
        <f t="shared" si="51"/>
        <v>183333.33333333334</v>
      </c>
      <c r="K192" s="429">
        <f t="shared" si="51"/>
        <v>183333.33333333334</v>
      </c>
      <c r="L192" s="429">
        <f t="shared" si="51"/>
        <v>183333.33333333334</v>
      </c>
      <c r="M192" s="429">
        <f t="shared" si="51"/>
        <v>183333.33333333334</v>
      </c>
      <c r="N192" s="429">
        <f t="shared" si="51"/>
        <v>183333.33333333334</v>
      </c>
      <c r="O192" s="429">
        <f t="shared" si="51"/>
        <v>183333.33333333334</v>
      </c>
      <c r="P192" s="430"/>
      <c r="Q192" s="424"/>
      <c r="T192" s="426"/>
      <c r="U192" s="89"/>
      <c r="V192" s="89"/>
    </row>
    <row r="193" spans="1:22" ht="15.6" hidden="1" customHeight="1" x14ac:dyDescent="0.2">
      <c r="A193" s="432" t="s">
        <v>239</v>
      </c>
      <c r="B193" s="433"/>
      <c r="C193" s="434"/>
      <c r="D193" s="435">
        <f>+IF(D76&gt;Tablas!$I$35,D359/12,0)</f>
        <v>183333.33333333334</v>
      </c>
      <c r="E193" s="435">
        <f>+IF(E76&gt;Tablas!$I$35,E359/12,0)</f>
        <v>183333.33333333334</v>
      </c>
      <c r="F193" s="435">
        <f>+IF(F76&gt;Tablas!$I$35,F359/12,0)</f>
        <v>183333.33333333334</v>
      </c>
      <c r="G193" s="435">
        <f>+IF(G76&gt;Tablas!$I$35,G359/12,0)</f>
        <v>183333.33333333334</v>
      </c>
      <c r="H193" s="435">
        <f>+IF(H76&gt;Tablas!$I$35,H359/12,0)</f>
        <v>183333.33333333334</v>
      </c>
      <c r="I193" s="435">
        <f>IF(Parametros!$B$13="Junio-Diciembre",I365-I364,IF(I76&gt;Tablas!$I$35,I359/12,0))</f>
        <v>183333.33333333334</v>
      </c>
      <c r="J193" s="435">
        <f>+IF(J76&gt;Tablas!$O$35,J359/12,0)</f>
        <v>183333.33333333334</v>
      </c>
      <c r="K193" s="435">
        <f>+IF(K76&gt;Tablas!$O$35,K359/12,0)</f>
        <v>183333.33333333334</v>
      </c>
      <c r="L193" s="435">
        <f>+IF(L76&gt;Tablas!$O$35,L359/12,0)</f>
        <v>183333.33333333334</v>
      </c>
      <c r="M193" s="435">
        <f>+IF(M76&gt;Tablas!$O$35,M359/12,0)</f>
        <v>183333.33333333334</v>
      </c>
      <c r="N193" s="435">
        <f>+IF(N76&gt;Tablas!$O$35,N359/12,0)</f>
        <v>183333.33333333334</v>
      </c>
      <c r="O193" s="435">
        <f>IF(Parametros!$B$13="Junio-Diciembre",O365-O364,IF(O76&gt;Tablas!$O$35,O359/12,0))</f>
        <v>183333.33333333334</v>
      </c>
      <c r="P193" s="323">
        <f>SUM(D193:O193)</f>
        <v>2199999.9999999995</v>
      </c>
      <c r="Q193" s="319"/>
      <c r="T193" s="360"/>
      <c r="U193" s="86"/>
      <c r="V193" s="86"/>
    </row>
    <row r="194" spans="1:22" ht="15.6" hidden="1" customHeight="1" x14ac:dyDescent="0.2">
      <c r="A194" s="258" t="s">
        <v>22</v>
      </c>
      <c r="B194" s="436"/>
      <c r="C194" s="437"/>
      <c r="D194" s="438">
        <f>+D$192*Tablas!D40</f>
        <v>20166.666666666668</v>
      </c>
      <c r="E194" s="438">
        <f>+E$192*Tablas!E40</f>
        <v>20166.666666666668</v>
      </c>
      <c r="F194" s="438">
        <f>+F$192*Tablas!F40</f>
        <v>20166.666666666668</v>
      </c>
      <c r="G194" s="438">
        <f>+G$192*Tablas!G40</f>
        <v>20166.666666666668</v>
      </c>
      <c r="H194" s="438">
        <f>+H$192*Tablas!H40</f>
        <v>20166.666666666668</v>
      </c>
      <c r="I194" s="438">
        <f>IF(Parametros!$B$13="Junio-Diciembre",I373-I367,I$192*Tablas!I40)</f>
        <v>20166.666666666668</v>
      </c>
      <c r="J194" s="438">
        <f>+J$192*Tablas!J40</f>
        <v>20166.666666666668</v>
      </c>
      <c r="K194" s="438">
        <f>+K$192*Tablas!K40</f>
        <v>20166.666666666668</v>
      </c>
      <c r="L194" s="438">
        <f>+L$192*Tablas!L40</f>
        <v>20166.666666666668</v>
      </c>
      <c r="M194" s="438">
        <f>+M$192*Tablas!M40</f>
        <v>20166.666666666668</v>
      </c>
      <c r="N194" s="438">
        <f>+N$192*Tablas!N40</f>
        <v>20166.666666666668</v>
      </c>
      <c r="O194" s="438">
        <f>IF(Parametros!$B$13="Junio-Diciembre",O373-O367,O$192*Tablas!O40)</f>
        <v>20166.666666666668</v>
      </c>
      <c r="P194" s="439">
        <f>SUM(D194:O194)</f>
        <v>241999.99999999997</v>
      </c>
      <c r="Q194" s="319"/>
      <c r="T194" s="360"/>
      <c r="U194" s="86"/>
      <c r="V194" s="86"/>
    </row>
    <row r="195" spans="1:22" ht="15.6" hidden="1" customHeight="1" x14ac:dyDescent="0.2">
      <c r="A195" s="258" t="s">
        <v>23</v>
      </c>
      <c r="B195" s="436"/>
      <c r="C195" s="437"/>
      <c r="D195" s="438">
        <f>+D$192*Tablas!D41</f>
        <v>5500</v>
      </c>
      <c r="E195" s="438">
        <f>+E$192*Tablas!E41</f>
        <v>5500</v>
      </c>
      <c r="F195" s="438">
        <f>+F$192*Tablas!F41</f>
        <v>5500</v>
      </c>
      <c r="G195" s="438">
        <f>+G$192*Tablas!G41</f>
        <v>5500</v>
      </c>
      <c r="H195" s="438">
        <f>+H$192*Tablas!H41</f>
        <v>5500</v>
      </c>
      <c r="I195" s="438">
        <f>IF(Parametros!$B$13="Junio-Diciembre",I374-I368,I$192*Tablas!I41)</f>
        <v>5500</v>
      </c>
      <c r="J195" s="438">
        <f>+J$192*Tablas!J41</f>
        <v>5500</v>
      </c>
      <c r="K195" s="438">
        <f>+K$192*Tablas!K41</f>
        <v>5500</v>
      </c>
      <c r="L195" s="438">
        <f>+L$192*Tablas!L41</f>
        <v>5500</v>
      </c>
      <c r="M195" s="438">
        <f>+M$192*Tablas!M41</f>
        <v>5500</v>
      </c>
      <c r="N195" s="438">
        <f>+N$192*Tablas!N41</f>
        <v>5500</v>
      </c>
      <c r="O195" s="438">
        <f>IF(Parametros!$B$13="Junio-Diciembre",O374-O368,O$192*Tablas!O41)</f>
        <v>5500</v>
      </c>
      <c r="P195" s="439">
        <f t="shared" ref="P195:P198" si="52">SUM(D195:O195)</f>
        <v>66000</v>
      </c>
      <c r="Q195" s="319"/>
      <c r="T195" s="360"/>
      <c r="U195" s="86"/>
      <c r="V195" s="86"/>
    </row>
    <row r="196" spans="1:22" ht="15.6" hidden="1" customHeight="1" x14ac:dyDescent="0.2">
      <c r="A196" s="258" t="s">
        <v>24</v>
      </c>
      <c r="B196" s="436"/>
      <c r="C196" s="437"/>
      <c r="D196" s="438">
        <f>+D$192*Tablas!D42</f>
        <v>5500</v>
      </c>
      <c r="E196" s="438">
        <f>+E$192*Tablas!E42</f>
        <v>5500</v>
      </c>
      <c r="F196" s="438">
        <f>+F$192*Tablas!F42</f>
        <v>5500</v>
      </c>
      <c r="G196" s="438">
        <f>+G$192*Tablas!G42</f>
        <v>5500</v>
      </c>
      <c r="H196" s="438">
        <f>+H$192*Tablas!H42</f>
        <v>5500</v>
      </c>
      <c r="I196" s="438">
        <f>IF(Parametros!$B$13="Junio-Diciembre",I375-I369,I$192*Tablas!I42)</f>
        <v>5500</v>
      </c>
      <c r="J196" s="438">
        <f>+J$192*Tablas!J42</f>
        <v>5500</v>
      </c>
      <c r="K196" s="438">
        <f>+K$192*Tablas!K42</f>
        <v>5500</v>
      </c>
      <c r="L196" s="438">
        <f>+L$192*Tablas!L42</f>
        <v>5500</v>
      </c>
      <c r="M196" s="438">
        <f>+M$192*Tablas!M42</f>
        <v>5500</v>
      </c>
      <c r="N196" s="438">
        <f>+N$192*Tablas!N42</f>
        <v>5500</v>
      </c>
      <c r="O196" s="438">
        <f>IF(Parametros!$B$13="Junio-Diciembre",O375-O369,O$192*Tablas!O42)</f>
        <v>5500</v>
      </c>
      <c r="P196" s="439">
        <f t="shared" si="52"/>
        <v>66000</v>
      </c>
      <c r="Q196" s="319"/>
      <c r="T196" s="360"/>
      <c r="U196" s="86"/>
      <c r="V196" s="86"/>
    </row>
    <row r="197" spans="1:22" ht="15.6" hidden="1" customHeight="1" x14ac:dyDescent="0.2">
      <c r="A197" s="258" t="str">
        <f>+A89</f>
        <v>Sindicato</v>
      </c>
      <c r="B197" s="436"/>
      <c r="C197" s="437"/>
      <c r="D197" s="438">
        <f>+D$193*Tablas!D43</f>
        <v>0</v>
      </c>
      <c r="E197" s="438">
        <f>+E$193*Tablas!E43</f>
        <v>0</v>
      </c>
      <c r="F197" s="438">
        <f>+F$193*Tablas!F43</f>
        <v>0</v>
      </c>
      <c r="G197" s="438">
        <f>+G$193*Tablas!G43</f>
        <v>0</v>
      </c>
      <c r="H197" s="438">
        <f>+H$193*Tablas!H43</f>
        <v>0</v>
      </c>
      <c r="I197" s="438">
        <f>IF(Parametros!$B$13="Junio-Diciembre",I376-I370,I$192*Tablas!I43)</f>
        <v>0</v>
      </c>
      <c r="J197" s="438">
        <f>+J$193*Tablas!J43</f>
        <v>0</v>
      </c>
      <c r="K197" s="438">
        <f>+K$193*Tablas!K43</f>
        <v>0</v>
      </c>
      <c r="L197" s="438">
        <f>+L$193*Tablas!L43</f>
        <v>0</v>
      </c>
      <c r="M197" s="438">
        <f>+M$193*Tablas!M43</f>
        <v>0</v>
      </c>
      <c r="N197" s="438">
        <f>+N$193*Tablas!N43</f>
        <v>0</v>
      </c>
      <c r="O197" s="438">
        <f>IF(Parametros!$B$13="Junio-Diciembre",O376-O370,O$192*Tablas!O43)</f>
        <v>0</v>
      </c>
      <c r="P197" s="439">
        <f t="shared" si="52"/>
        <v>0</v>
      </c>
      <c r="Q197" s="319"/>
      <c r="T197" s="360"/>
      <c r="U197" s="86"/>
      <c r="V197" s="86"/>
    </row>
    <row r="198" spans="1:22" ht="15.6" hidden="1" customHeight="1" x14ac:dyDescent="0.2">
      <c r="A198" s="440" t="str">
        <f>+A90</f>
        <v>Otros descuentos (x Ej: importes fijos)</v>
      </c>
      <c r="B198" s="436"/>
      <c r="C198" s="333"/>
      <c r="D198" s="261">
        <v>0</v>
      </c>
      <c r="E198" s="261">
        <v>0</v>
      </c>
      <c r="F198" s="261">
        <v>0</v>
      </c>
      <c r="G198" s="261">
        <v>0</v>
      </c>
      <c r="H198" s="261">
        <v>0</v>
      </c>
      <c r="I198" s="261">
        <f>IF(Parametros!$B$13="Junio-Diciembre",I377-I371,0)</f>
        <v>0</v>
      </c>
      <c r="J198" s="441">
        <v>0</v>
      </c>
      <c r="K198" s="441">
        <v>0</v>
      </c>
      <c r="L198" s="441">
        <v>0</v>
      </c>
      <c r="M198" s="441">
        <v>0</v>
      </c>
      <c r="N198" s="441">
        <v>0</v>
      </c>
      <c r="O198" s="441">
        <f>IF(Parametros!$B$13="Junio-Diciembre",O377-O371,0)</f>
        <v>0</v>
      </c>
      <c r="P198" s="439">
        <f t="shared" si="52"/>
        <v>0</v>
      </c>
      <c r="Q198" s="319"/>
      <c r="T198" s="360"/>
      <c r="U198" s="86"/>
      <c r="V198" s="86"/>
    </row>
    <row r="199" spans="1:22" ht="14.25" hidden="1" customHeight="1" x14ac:dyDescent="0.2">
      <c r="A199" s="442" t="s">
        <v>198</v>
      </c>
      <c r="B199" s="436"/>
      <c r="C199" s="333"/>
      <c r="D199" s="438">
        <f>+SUM(D194:D198)</f>
        <v>31166.666666666668</v>
      </c>
      <c r="E199" s="438">
        <f t="shared" ref="E199:O199" si="53">+SUM(E194:E198)</f>
        <v>31166.666666666668</v>
      </c>
      <c r="F199" s="438">
        <f t="shared" si="53"/>
        <v>31166.666666666668</v>
      </c>
      <c r="G199" s="438">
        <f t="shared" si="53"/>
        <v>31166.666666666668</v>
      </c>
      <c r="H199" s="438">
        <f t="shared" si="53"/>
        <v>31166.666666666668</v>
      </c>
      <c r="I199" s="438">
        <f t="shared" si="53"/>
        <v>31166.666666666668</v>
      </c>
      <c r="J199" s="438">
        <f t="shared" si="53"/>
        <v>31166.666666666668</v>
      </c>
      <c r="K199" s="438">
        <f t="shared" si="53"/>
        <v>31166.666666666668</v>
      </c>
      <c r="L199" s="438">
        <f t="shared" si="53"/>
        <v>31166.666666666668</v>
      </c>
      <c r="M199" s="438">
        <f t="shared" si="53"/>
        <v>31166.666666666668</v>
      </c>
      <c r="N199" s="438">
        <f t="shared" si="53"/>
        <v>31166.666666666668</v>
      </c>
      <c r="O199" s="438">
        <f t="shared" si="53"/>
        <v>31166.666666666668</v>
      </c>
      <c r="P199" s="323"/>
      <c r="Q199" s="319"/>
      <c r="R199" s="443"/>
      <c r="S199" s="444"/>
      <c r="T199" s="360"/>
      <c r="U199" s="86"/>
      <c r="V199" s="86"/>
    </row>
    <row r="200" spans="1:22" ht="14.25" hidden="1" customHeight="1" x14ac:dyDescent="0.2">
      <c r="A200" s="445" t="s">
        <v>199</v>
      </c>
      <c r="B200" s="446"/>
      <c r="C200" s="333"/>
      <c r="D200" s="447">
        <f t="shared" ref="D200:O200" si="54">+D193-D199</f>
        <v>152166.66666666669</v>
      </c>
      <c r="E200" s="447">
        <f t="shared" si="54"/>
        <v>152166.66666666669</v>
      </c>
      <c r="F200" s="447">
        <f t="shared" si="54"/>
        <v>152166.66666666669</v>
      </c>
      <c r="G200" s="447">
        <f t="shared" si="54"/>
        <v>152166.66666666669</v>
      </c>
      <c r="H200" s="447">
        <f t="shared" si="54"/>
        <v>152166.66666666669</v>
      </c>
      <c r="I200" s="447">
        <f>+I193-I199</f>
        <v>152166.66666666669</v>
      </c>
      <c r="J200" s="447">
        <f t="shared" si="54"/>
        <v>152166.66666666669</v>
      </c>
      <c r="K200" s="447">
        <f t="shared" si="54"/>
        <v>152166.66666666669</v>
      </c>
      <c r="L200" s="447">
        <f t="shared" si="54"/>
        <v>152166.66666666669</v>
      </c>
      <c r="M200" s="447">
        <f t="shared" si="54"/>
        <v>152166.66666666669</v>
      </c>
      <c r="N200" s="447">
        <f t="shared" si="54"/>
        <v>152166.66666666669</v>
      </c>
      <c r="O200" s="447">
        <f t="shared" si="54"/>
        <v>152166.66666666669</v>
      </c>
      <c r="P200" s="323"/>
      <c r="Q200" s="319"/>
      <c r="T200" s="360"/>
      <c r="U200" s="86"/>
      <c r="V200" s="86"/>
    </row>
    <row r="201" spans="1:22" s="244" customFormat="1" ht="14.25" hidden="1" customHeight="1" x14ac:dyDescent="0.2">
      <c r="A201" s="448"/>
      <c r="B201" s="449"/>
      <c r="C201" s="449"/>
      <c r="D201" s="278"/>
      <c r="E201" s="278"/>
      <c r="F201" s="278"/>
      <c r="G201" s="278"/>
      <c r="H201" s="278"/>
      <c r="I201" s="278"/>
      <c r="J201" s="278"/>
      <c r="K201" s="278"/>
      <c r="L201" s="278"/>
      <c r="M201" s="278"/>
      <c r="N201" s="278"/>
      <c r="O201" s="278"/>
      <c r="P201" s="450"/>
      <c r="Q201" s="278"/>
      <c r="T201" s="426"/>
      <c r="U201" s="89"/>
      <c r="V201" s="89"/>
    </row>
    <row r="202" spans="1:22" s="244" customFormat="1" ht="14.25" hidden="1" customHeight="1" x14ac:dyDescent="0.2">
      <c r="A202" s="421" t="s">
        <v>200</v>
      </c>
      <c r="B202" s="451"/>
      <c r="C202" s="451"/>
      <c r="D202" s="405"/>
      <c r="E202" s="405"/>
      <c r="F202" s="405"/>
      <c r="G202" s="405"/>
      <c r="H202" s="405"/>
      <c r="I202" s="405"/>
      <c r="J202" s="405"/>
      <c r="K202" s="405"/>
      <c r="L202" s="405"/>
      <c r="M202" s="405"/>
      <c r="N202" s="405"/>
      <c r="O202" s="405"/>
      <c r="P202" s="452"/>
      <c r="Q202" s="278"/>
      <c r="T202" s="426"/>
      <c r="U202" s="89"/>
      <c r="V202" s="89"/>
    </row>
    <row r="203" spans="1:22" s="244" customFormat="1" ht="14.25" hidden="1" customHeight="1" x14ac:dyDescent="0.2">
      <c r="A203" s="453" t="s">
        <v>203</v>
      </c>
      <c r="B203" s="449"/>
      <c r="C203" s="449" t="s">
        <v>201</v>
      </c>
      <c r="D203" s="278">
        <f t="shared" ref="D203:O203" si="55">+D65</f>
        <v>0</v>
      </c>
      <c r="E203" s="278">
        <f t="shared" si="55"/>
        <v>0</v>
      </c>
      <c r="F203" s="278">
        <f t="shared" si="55"/>
        <v>0</v>
      </c>
      <c r="G203" s="278">
        <f t="shared" si="55"/>
        <v>0</v>
      </c>
      <c r="H203" s="278">
        <f t="shared" si="55"/>
        <v>0</v>
      </c>
      <c r="I203" s="278">
        <f t="shared" si="55"/>
        <v>0</v>
      </c>
      <c r="J203" s="278">
        <f t="shared" si="55"/>
        <v>0</v>
      </c>
      <c r="K203" s="278">
        <f t="shared" si="55"/>
        <v>0</v>
      </c>
      <c r="L203" s="278">
        <f t="shared" si="55"/>
        <v>0</v>
      </c>
      <c r="M203" s="278">
        <f t="shared" si="55"/>
        <v>0</v>
      </c>
      <c r="N203" s="278">
        <f t="shared" si="55"/>
        <v>0</v>
      </c>
      <c r="O203" s="278">
        <f t="shared" si="55"/>
        <v>0</v>
      </c>
      <c r="P203" s="450"/>
      <c r="Q203" s="278"/>
      <c r="T203" s="426"/>
      <c r="U203" s="89"/>
      <c r="V203" s="89"/>
    </row>
    <row r="204" spans="1:22" s="244" customFormat="1" ht="14.25" hidden="1" customHeight="1" x14ac:dyDescent="0.2">
      <c r="A204" s="454" t="s">
        <v>240</v>
      </c>
      <c r="B204" s="455"/>
      <c r="C204" s="455"/>
      <c r="D204" s="456">
        <f>+IF(D76&gt;Tablas!$I$35,D203/12,0)</f>
        <v>0</v>
      </c>
      <c r="E204" s="456">
        <f>+IF(E76&gt;Tablas!$I$35,E203/12,0)</f>
        <v>0</v>
      </c>
      <c r="F204" s="456">
        <f>+IF(F76&gt;Tablas!$I$35,F203/12,0)</f>
        <v>0</v>
      </c>
      <c r="G204" s="456">
        <f>+IF(G76&gt;Tablas!$I$35,G203/12,0)</f>
        <v>0</v>
      </c>
      <c r="H204" s="456">
        <f>+IF(H76&gt;Tablas!$I$35,H203/12,0)</f>
        <v>0</v>
      </c>
      <c r="I204" s="456">
        <f>IF(Parametros!B13="Junio-Diciembre",I381-I380,IF(I76&gt;Tablas!$I$35,I203/12,0))</f>
        <v>0</v>
      </c>
      <c r="J204" s="456">
        <f>+IF(J76&gt;Tablas!$O$35,J203/12,0)</f>
        <v>0</v>
      </c>
      <c r="K204" s="456">
        <f>+IF(K76&gt;Tablas!$O$35,K203/12,0)</f>
        <v>0</v>
      </c>
      <c r="L204" s="456">
        <f>+IF(L76&gt;Tablas!$O$35,L203/12,0)</f>
        <v>0</v>
      </c>
      <c r="M204" s="456">
        <f>+IF(M76&gt;Tablas!$O$35,M203/12,0)</f>
        <v>0</v>
      </c>
      <c r="N204" s="456">
        <f>+IF(N76&gt;Tablas!$O$35,N203/12,0)</f>
        <v>0</v>
      </c>
      <c r="O204" s="456">
        <f>IF(Parametros!B13="Junio-Diciembre",O381-O380,IF(O76&gt;Tablas!$O$35,O203/12,0))</f>
        <v>0</v>
      </c>
      <c r="P204" s="457">
        <f>SUM(D204:O204)</f>
        <v>0</v>
      </c>
      <c r="Q204" s="278"/>
      <c r="T204" s="426"/>
      <c r="U204" s="89"/>
      <c r="V204" s="89"/>
    </row>
    <row r="205" spans="1:22" s="425" customFormat="1" ht="14.25" hidden="1" customHeight="1" x14ac:dyDescent="0.2">
      <c r="B205" s="428"/>
      <c r="C205" s="428"/>
      <c r="D205" s="424"/>
      <c r="E205" s="424"/>
      <c r="F205" s="424"/>
      <c r="G205" s="424"/>
      <c r="H205" s="424"/>
      <c r="I205" s="424"/>
      <c r="J205" s="424"/>
      <c r="K205" s="424"/>
      <c r="L205" s="424"/>
      <c r="M205" s="424"/>
      <c r="N205" s="424"/>
      <c r="O205" s="424"/>
      <c r="P205" s="458"/>
      <c r="Q205" s="424"/>
      <c r="T205" s="426"/>
      <c r="U205" s="89"/>
      <c r="V205" s="89"/>
    </row>
    <row r="206" spans="1:22" s="425" customFormat="1" ht="7.15" hidden="1" customHeight="1" x14ac:dyDescent="0.2">
      <c r="A206" s="459"/>
      <c r="B206" s="460"/>
      <c r="C206" s="460"/>
      <c r="D206" s="461"/>
      <c r="E206" s="461"/>
      <c r="F206" s="461"/>
      <c r="G206" s="461"/>
      <c r="H206" s="461"/>
      <c r="I206" s="461"/>
      <c r="J206" s="461"/>
      <c r="K206" s="461"/>
      <c r="L206" s="461"/>
      <c r="M206" s="461"/>
      <c r="N206" s="461"/>
      <c r="O206" s="461"/>
      <c r="P206" s="462"/>
      <c r="Q206" s="461"/>
      <c r="T206" s="426"/>
      <c r="U206" s="89"/>
      <c r="V206" s="89"/>
    </row>
    <row r="207" spans="1:22" s="425" customFormat="1" ht="14.25" hidden="1" customHeight="1" x14ac:dyDescent="0.2">
      <c r="B207" s="428"/>
      <c r="C207" s="428"/>
      <c r="D207" s="424"/>
      <c r="E207" s="424"/>
      <c r="F207" s="424"/>
      <c r="G207" s="424"/>
      <c r="H207" s="424"/>
      <c r="I207" s="424"/>
      <c r="J207" s="424"/>
      <c r="K207" s="424"/>
      <c r="L207" s="424"/>
      <c r="M207" s="424"/>
      <c r="N207" s="424"/>
      <c r="O207" s="424"/>
      <c r="P207" s="458"/>
      <c r="Q207" s="424"/>
      <c r="T207" s="426"/>
      <c r="U207" s="89"/>
      <c r="V207" s="89"/>
    </row>
    <row r="208" spans="1:22" ht="12.75" hidden="1" customHeight="1" x14ac:dyDescent="0.2">
      <c r="A208" s="463" t="s">
        <v>164</v>
      </c>
      <c r="B208" s="464"/>
      <c r="C208" s="465"/>
      <c r="D208" s="466">
        <f>+D183+D193+D204</f>
        <v>2383333.3333333335</v>
      </c>
      <c r="E208" s="466">
        <f t="shared" ref="E208:N208" si="56">+E183+E193+E204</f>
        <v>2383333.3333333335</v>
      </c>
      <c r="F208" s="466">
        <f t="shared" si="56"/>
        <v>2383333.3333333335</v>
      </c>
      <c r="G208" s="466">
        <f t="shared" si="56"/>
        <v>2383333.3333333335</v>
      </c>
      <c r="H208" s="466">
        <f t="shared" si="56"/>
        <v>2383333.3333333335</v>
      </c>
      <c r="I208" s="466">
        <f t="shared" si="56"/>
        <v>2383333.3333333335</v>
      </c>
      <c r="J208" s="466">
        <f t="shared" si="56"/>
        <v>2383333.3333333335</v>
      </c>
      <c r="K208" s="466">
        <f t="shared" si="56"/>
        <v>2383333.3333333335</v>
      </c>
      <c r="L208" s="466">
        <f t="shared" si="56"/>
        <v>2383333.3333333335</v>
      </c>
      <c r="M208" s="466">
        <f t="shared" si="56"/>
        <v>2383333.3333333335</v>
      </c>
      <c r="N208" s="466">
        <f t="shared" si="56"/>
        <v>2383333.3333333335</v>
      </c>
      <c r="O208" s="466">
        <f>+O183+O193+O204</f>
        <v>2383333.3333333335</v>
      </c>
      <c r="P208" s="466">
        <f>+P183+P193+P204</f>
        <v>28600000</v>
      </c>
      <c r="Q208" s="467"/>
      <c r="R208" s="255"/>
      <c r="T208" s="360"/>
      <c r="U208" s="86"/>
      <c r="V208" s="86"/>
    </row>
    <row r="209" spans="1:22" ht="12.75" hidden="1" customHeight="1" x14ac:dyDescent="0.2">
      <c r="A209" s="468" t="s">
        <v>227</v>
      </c>
      <c r="B209" s="464"/>
      <c r="C209" s="465"/>
      <c r="D209" s="469"/>
      <c r="E209" s="469"/>
      <c r="F209" s="469"/>
      <c r="G209" s="469"/>
      <c r="H209" s="469"/>
      <c r="I209" s="469"/>
      <c r="J209" s="469"/>
      <c r="K209" s="469"/>
      <c r="L209" s="469"/>
      <c r="M209" s="469"/>
      <c r="N209" s="469"/>
      <c r="O209" s="469"/>
      <c r="P209" s="470"/>
      <c r="Q209" s="471">
        <f>+Q184</f>
        <v>0</v>
      </c>
      <c r="R209" s="255"/>
      <c r="T209" s="360"/>
      <c r="U209" s="86"/>
      <c r="V209" s="86"/>
    </row>
    <row r="210" spans="1:22" ht="15" hidden="1" customHeight="1" x14ac:dyDescent="0.2">
      <c r="A210" s="463" t="s">
        <v>228</v>
      </c>
      <c r="B210" s="464"/>
      <c r="C210" s="465"/>
      <c r="D210" s="466">
        <f>SUM(D208:D209)</f>
        <v>2383333.3333333335</v>
      </c>
      <c r="E210" s="466">
        <f t="shared" ref="E210:O210" si="57">SUM(E208:E209)</f>
        <v>2383333.3333333335</v>
      </c>
      <c r="F210" s="466">
        <f t="shared" si="57"/>
        <v>2383333.3333333335</v>
      </c>
      <c r="G210" s="466">
        <f t="shared" si="57"/>
        <v>2383333.3333333335</v>
      </c>
      <c r="H210" s="466">
        <f t="shared" si="57"/>
        <v>2383333.3333333335</v>
      </c>
      <c r="I210" s="466">
        <f t="shared" si="57"/>
        <v>2383333.3333333335</v>
      </c>
      <c r="J210" s="466">
        <f t="shared" si="57"/>
        <v>2383333.3333333335</v>
      </c>
      <c r="K210" s="466">
        <f t="shared" si="57"/>
        <v>2383333.3333333335</v>
      </c>
      <c r="L210" s="466">
        <f t="shared" si="57"/>
        <v>2383333.3333333335</v>
      </c>
      <c r="M210" s="466">
        <f t="shared" si="57"/>
        <v>2383333.3333333335</v>
      </c>
      <c r="N210" s="466">
        <f t="shared" si="57"/>
        <v>2383333.3333333335</v>
      </c>
      <c r="O210" s="466">
        <f t="shared" si="57"/>
        <v>2383333.3333333335</v>
      </c>
      <c r="P210" s="472">
        <f>+P208</f>
        <v>28600000</v>
      </c>
      <c r="Q210" s="473">
        <f>+Q209</f>
        <v>0</v>
      </c>
      <c r="R210" s="255"/>
      <c r="T210" s="360"/>
      <c r="U210" s="86"/>
      <c r="V210" s="86"/>
    </row>
    <row r="211" spans="1:22" s="244" customFormat="1" ht="14.25" hidden="1" customHeight="1" x14ac:dyDescent="0.2">
      <c r="A211" s="448"/>
      <c r="B211" s="449"/>
      <c r="C211" s="449"/>
      <c r="D211" s="278"/>
      <c r="E211" s="278"/>
      <c r="F211" s="278"/>
      <c r="G211" s="278"/>
      <c r="H211" s="278"/>
      <c r="I211" s="278"/>
      <c r="J211" s="278"/>
      <c r="K211" s="278"/>
      <c r="L211" s="278"/>
      <c r="M211" s="278"/>
      <c r="N211" s="278"/>
      <c r="O211" s="278"/>
      <c r="P211" s="450"/>
      <c r="Q211" s="278"/>
      <c r="T211" s="426"/>
      <c r="U211" s="89"/>
      <c r="V211" s="89"/>
    </row>
    <row r="212" spans="1:22" ht="6" hidden="1" customHeight="1" x14ac:dyDescent="0.2">
      <c r="A212" s="311"/>
      <c r="B212" s="312"/>
      <c r="C212" s="312"/>
      <c r="D212" s="313"/>
      <c r="E212" s="313"/>
      <c r="F212" s="313"/>
      <c r="G212" s="313"/>
      <c r="H212" s="313"/>
      <c r="I212" s="313"/>
      <c r="J212" s="313"/>
      <c r="K212" s="313"/>
      <c r="L212" s="313"/>
      <c r="M212" s="313"/>
      <c r="N212" s="313"/>
      <c r="O212" s="313"/>
      <c r="P212" s="314"/>
      <c r="Q212" s="315"/>
      <c r="T212" s="360"/>
      <c r="U212" s="86"/>
      <c r="V212" s="86"/>
    </row>
    <row r="213" spans="1:22" ht="12" hidden="1" customHeight="1" x14ac:dyDescent="0.2">
      <c r="A213" s="349"/>
      <c r="B213" s="75"/>
      <c r="C213" s="75"/>
      <c r="D213" s="415"/>
      <c r="E213" s="415"/>
      <c r="F213" s="415"/>
      <c r="G213" s="415"/>
      <c r="H213" s="415"/>
      <c r="I213" s="415"/>
      <c r="J213" s="415"/>
      <c r="K213" s="415"/>
      <c r="L213" s="415"/>
      <c r="M213" s="415"/>
      <c r="N213" s="415"/>
      <c r="O213" s="415"/>
      <c r="P213" s="318"/>
      <c r="Q213" s="319"/>
      <c r="T213" s="360"/>
      <c r="U213" s="86"/>
      <c r="V213" s="86"/>
    </row>
    <row r="214" spans="1:22" ht="27" hidden="1" customHeight="1" x14ac:dyDescent="0.2">
      <c r="A214" s="474" t="s">
        <v>204</v>
      </c>
      <c r="B214" s="475"/>
      <c r="C214" s="475"/>
      <c r="D214" s="476">
        <f>+D208</f>
        <v>2383333.3333333335</v>
      </c>
      <c r="E214" s="476">
        <f t="shared" ref="E214:O214" si="58">+E208</f>
        <v>2383333.3333333335</v>
      </c>
      <c r="F214" s="476">
        <f t="shared" si="58"/>
        <v>2383333.3333333335</v>
      </c>
      <c r="G214" s="476">
        <f t="shared" si="58"/>
        <v>2383333.3333333335</v>
      </c>
      <c r="H214" s="476">
        <f t="shared" si="58"/>
        <v>2383333.3333333335</v>
      </c>
      <c r="I214" s="476">
        <f t="shared" si="58"/>
        <v>2383333.3333333335</v>
      </c>
      <c r="J214" s="476">
        <f t="shared" si="58"/>
        <v>2383333.3333333335</v>
      </c>
      <c r="K214" s="476">
        <f t="shared" si="58"/>
        <v>2383333.3333333335</v>
      </c>
      <c r="L214" s="476">
        <f t="shared" si="58"/>
        <v>2383333.3333333335</v>
      </c>
      <c r="M214" s="476">
        <f t="shared" si="58"/>
        <v>2383333.3333333335</v>
      </c>
      <c r="N214" s="476">
        <f t="shared" si="58"/>
        <v>2383333.3333333335</v>
      </c>
      <c r="O214" s="476">
        <f t="shared" si="58"/>
        <v>2383333.3333333335</v>
      </c>
      <c r="P214" s="477">
        <f>IF(Parametros!B13="Anual",P183+P103+P113,P183+P193+P204)</f>
        <v>28600000</v>
      </c>
      <c r="Q214" s="478" t="str">
        <f>IF(Parametros!B13="Anual","Reemplazo del SAC Bruto prorrateado 12va parte por el SAC bruto real.","El reemplazo x el SAC grav Real se hizo en junio y diciembre.")</f>
        <v>Reemplazo del SAC Bruto prorrateado 12va parte por el SAC bruto real.</v>
      </c>
      <c r="T214" s="479">
        <f>+P214</f>
        <v>28600000</v>
      </c>
      <c r="U214" s="86" t="s">
        <v>164</v>
      </c>
      <c r="V214" s="86"/>
    </row>
    <row r="215" spans="1:22" ht="12.6" hidden="1" customHeight="1" x14ac:dyDescent="0.2">
      <c r="A215" s="349"/>
      <c r="B215" s="75"/>
      <c r="C215" s="75"/>
      <c r="D215" s="415"/>
      <c r="E215" s="415"/>
      <c r="F215" s="415"/>
      <c r="G215" s="415"/>
      <c r="H215" s="415"/>
      <c r="I215" s="415"/>
      <c r="J215" s="415"/>
      <c r="K215" s="415"/>
      <c r="L215" s="415"/>
      <c r="M215" s="415"/>
      <c r="N215" s="415"/>
      <c r="O215" s="415"/>
      <c r="P215" s="318"/>
      <c r="Q215" s="319"/>
      <c r="T215" s="480">
        <f>+Q184+Q104+Q113</f>
        <v>0</v>
      </c>
      <c r="U215" s="88" t="s">
        <v>165</v>
      </c>
      <c r="V215" s="88" t="s">
        <v>247</v>
      </c>
    </row>
    <row r="216" spans="1:22" ht="20.45" hidden="1" customHeight="1" x14ac:dyDescent="0.2">
      <c r="A216" s="481" t="s">
        <v>71</v>
      </c>
      <c r="B216" s="482"/>
      <c r="C216" s="482"/>
      <c r="D216" s="482"/>
      <c r="E216" s="482"/>
      <c r="F216" s="482"/>
      <c r="G216" s="482"/>
      <c r="H216" s="482"/>
      <c r="I216" s="482"/>
      <c r="J216" s="482"/>
      <c r="K216" s="482"/>
      <c r="L216" s="482"/>
      <c r="M216" s="482"/>
      <c r="N216" s="482"/>
      <c r="O216" s="482"/>
      <c r="P216" s="483"/>
      <c r="Q216" s="319"/>
      <c r="T216" s="484">
        <f>+SUM(T214:T215)</f>
        <v>28600000</v>
      </c>
      <c r="U216" s="90" t="s">
        <v>166</v>
      </c>
      <c r="V216" s="86"/>
    </row>
    <row r="217" spans="1:22" ht="15" hidden="1" customHeight="1" x14ac:dyDescent="0.2">
      <c r="A217" s="485" t="s">
        <v>232</v>
      </c>
      <c r="B217" s="63"/>
      <c r="C217" s="75"/>
      <c r="D217" s="72">
        <f t="shared" ref="D217:O217" si="59">SUMIFS(D124:D155,$C124:$C155,"R")</f>
        <v>2200000</v>
      </c>
      <c r="E217" s="72">
        <f t="shared" si="59"/>
        <v>2200000</v>
      </c>
      <c r="F217" s="72">
        <f t="shared" si="59"/>
        <v>2200000</v>
      </c>
      <c r="G217" s="72">
        <f t="shared" si="59"/>
        <v>2200000</v>
      </c>
      <c r="H217" s="72">
        <f t="shared" si="59"/>
        <v>2200000</v>
      </c>
      <c r="I217" s="72">
        <f t="shared" si="59"/>
        <v>2200000</v>
      </c>
      <c r="J217" s="72">
        <f t="shared" si="59"/>
        <v>2200000</v>
      </c>
      <c r="K217" s="72">
        <f t="shared" si="59"/>
        <v>2200000</v>
      </c>
      <c r="L217" s="72">
        <f t="shared" si="59"/>
        <v>2200000</v>
      </c>
      <c r="M217" s="72">
        <f t="shared" si="59"/>
        <v>2200000</v>
      </c>
      <c r="N217" s="72">
        <f t="shared" si="59"/>
        <v>2200000</v>
      </c>
      <c r="O217" s="72">
        <f t="shared" si="59"/>
        <v>2200000</v>
      </c>
      <c r="P217" s="318"/>
      <c r="Q217" s="319"/>
      <c r="T217" s="360"/>
      <c r="U217" s="86"/>
      <c r="V217" s="86"/>
    </row>
    <row r="218" spans="1:22" ht="15" hidden="1" customHeight="1" x14ac:dyDescent="0.2">
      <c r="A218" s="485" t="s">
        <v>230</v>
      </c>
      <c r="B218" s="63"/>
      <c r="C218" s="75"/>
      <c r="D218" s="72">
        <f t="shared" ref="D218:O218" si="60">+D84</f>
        <v>2360165.23</v>
      </c>
      <c r="E218" s="72">
        <f t="shared" si="60"/>
        <v>2360165.23</v>
      </c>
      <c r="F218" s="72">
        <f t="shared" si="60"/>
        <v>2360165.23</v>
      </c>
      <c r="G218" s="72">
        <f t="shared" si="60"/>
        <v>2360165.23</v>
      </c>
      <c r="H218" s="72">
        <f t="shared" si="60"/>
        <v>2360165.23</v>
      </c>
      <c r="I218" s="72">
        <f t="shared" si="60"/>
        <v>2360165.23</v>
      </c>
      <c r="J218" s="72">
        <f t="shared" si="60"/>
        <v>2360165.23</v>
      </c>
      <c r="K218" s="72">
        <f t="shared" si="60"/>
        <v>2360165.23</v>
      </c>
      <c r="L218" s="72">
        <f t="shared" si="60"/>
        <v>2360165.23</v>
      </c>
      <c r="M218" s="72">
        <f t="shared" si="60"/>
        <v>2360165.23</v>
      </c>
      <c r="N218" s="72">
        <f t="shared" si="60"/>
        <v>2360165.23</v>
      </c>
      <c r="O218" s="72">
        <f t="shared" si="60"/>
        <v>2360165.23</v>
      </c>
      <c r="P218" s="318"/>
      <c r="Q218" s="319"/>
      <c r="T218" s="360"/>
      <c r="U218" s="86"/>
      <c r="V218" s="86"/>
    </row>
    <row r="219" spans="1:22" ht="15" hidden="1" customHeight="1" x14ac:dyDescent="0.2">
      <c r="A219" s="485" t="s">
        <v>231</v>
      </c>
      <c r="B219" s="63"/>
      <c r="C219" s="75"/>
      <c r="D219" s="72">
        <f>+MIN(D217:D218)</f>
        <v>2200000</v>
      </c>
      <c r="E219" s="72">
        <f t="shared" ref="E219:O219" si="61">+MIN(E217:E218)</f>
        <v>2200000</v>
      </c>
      <c r="F219" s="72">
        <f t="shared" si="61"/>
        <v>2200000</v>
      </c>
      <c r="G219" s="72">
        <f t="shared" si="61"/>
        <v>2200000</v>
      </c>
      <c r="H219" s="72">
        <f t="shared" si="61"/>
        <v>2200000</v>
      </c>
      <c r="I219" s="72">
        <f t="shared" si="61"/>
        <v>2200000</v>
      </c>
      <c r="J219" s="72">
        <f t="shared" si="61"/>
        <v>2200000</v>
      </c>
      <c r="K219" s="72">
        <f t="shared" si="61"/>
        <v>2200000</v>
      </c>
      <c r="L219" s="72">
        <f t="shared" si="61"/>
        <v>2200000</v>
      </c>
      <c r="M219" s="72">
        <f t="shared" si="61"/>
        <v>2200000</v>
      </c>
      <c r="N219" s="72">
        <f t="shared" si="61"/>
        <v>2200000</v>
      </c>
      <c r="O219" s="72">
        <f t="shared" si="61"/>
        <v>2200000</v>
      </c>
      <c r="P219" s="318"/>
      <c r="Q219" s="319"/>
      <c r="T219" s="360"/>
      <c r="U219" s="86"/>
      <c r="V219" s="86"/>
    </row>
    <row r="220" spans="1:22" ht="15" hidden="1" customHeight="1" x14ac:dyDescent="0.2">
      <c r="A220" s="486"/>
      <c r="B220" s="63"/>
      <c r="C220" s="75"/>
      <c r="D220" s="415"/>
      <c r="E220" s="415"/>
      <c r="F220" s="415"/>
      <c r="G220" s="415"/>
      <c r="H220" s="415"/>
      <c r="I220" s="415"/>
      <c r="J220" s="415"/>
      <c r="K220" s="415"/>
      <c r="L220" s="415"/>
      <c r="M220" s="415"/>
      <c r="N220" s="415"/>
      <c r="O220" s="415"/>
      <c r="P220" s="318"/>
      <c r="Q220" s="319"/>
      <c r="T220" s="360"/>
      <c r="U220" s="86"/>
      <c r="V220" s="86"/>
    </row>
    <row r="221" spans="1:22" ht="12.6" hidden="1" customHeight="1" x14ac:dyDescent="0.2">
      <c r="A221" s="258" t="str">
        <f>+A86</f>
        <v>Jubilacion</v>
      </c>
      <c r="B221" s="260"/>
      <c r="C221" s="364"/>
      <c r="D221" s="438">
        <f>+D$219*Tablas!D40+D194</f>
        <v>262166.66666666669</v>
      </c>
      <c r="E221" s="438">
        <f>+E$219*Tablas!E40+E194</f>
        <v>262166.66666666669</v>
      </c>
      <c r="F221" s="438">
        <f>+F$219*Tablas!F40+F194</f>
        <v>262166.66666666669</v>
      </c>
      <c r="G221" s="438">
        <f>+G$219*Tablas!G40+G194</f>
        <v>262166.66666666669</v>
      </c>
      <c r="H221" s="438">
        <f>+H$219*Tablas!H40+H194</f>
        <v>262166.66666666669</v>
      </c>
      <c r="I221" s="438">
        <f>+I$219*Tablas!I40+I194</f>
        <v>262166.66666666669</v>
      </c>
      <c r="J221" s="438">
        <f>+J$219*Tablas!J40+J194</f>
        <v>262166.66666666669</v>
      </c>
      <c r="K221" s="438">
        <f>+K$219*Tablas!K40+K194</f>
        <v>262166.66666666669</v>
      </c>
      <c r="L221" s="438">
        <f>+L$219*Tablas!L40+L194</f>
        <v>262166.66666666669</v>
      </c>
      <c r="M221" s="438">
        <f>+M$219*Tablas!M40+M194</f>
        <v>262166.66666666669</v>
      </c>
      <c r="N221" s="438">
        <f>+N$219*Tablas!N40+N194</f>
        <v>262166.66666666669</v>
      </c>
      <c r="O221" s="438">
        <f>+O$219*Tablas!O40+O194</f>
        <v>262166.66666666669</v>
      </c>
      <c r="P221" s="487">
        <f>IF(Parametros!$B$13="Anual",SUM(D221:O221)-P194+I373+O373,SUM(D221:O221))</f>
        <v>3145999.9999999995</v>
      </c>
      <c r="Q221" s="488" t="str">
        <f>IF(Parametros!$B$13="Anual","Reemplazo de los aportes del SAC real x el del SAC prorrateado.","El reemplazo x el SAC grav Real se hizo en junio y diciembre.")</f>
        <v>Reemplazo de los aportes del SAC real x el del SAC prorrateado.</v>
      </c>
      <c r="T221" s="397">
        <f>+P221</f>
        <v>3145999.9999999995</v>
      </c>
      <c r="U221" s="91" t="s">
        <v>275</v>
      </c>
      <c r="V221" s="86"/>
    </row>
    <row r="222" spans="1:22" ht="12.6" hidden="1" customHeight="1" x14ac:dyDescent="0.2">
      <c r="A222" s="258" t="s">
        <v>205</v>
      </c>
      <c r="B222" s="260"/>
      <c r="C222" s="364"/>
      <c r="D222" s="438">
        <f t="shared" ref="D222:O222" si="62">+D94</f>
        <v>0</v>
      </c>
      <c r="E222" s="438">
        <f t="shared" si="62"/>
        <v>0</v>
      </c>
      <c r="F222" s="438">
        <f t="shared" si="62"/>
        <v>0</v>
      </c>
      <c r="G222" s="438">
        <f t="shared" si="62"/>
        <v>0</v>
      </c>
      <c r="H222" s="438">
        <f t="shared" si="62"/>
        <v>0</v>
      </c>
      <c r="I222" s="438">
        <f t="shared" si="62"/>
        <v>0</v>
      </c>
      <c r="J222" s="438">
        <f t="shared" si="62"/>
        <v>0</v>
      </c>
      <c r="K222" s="438">
        <f t="shared" si="62"/>
        <v>0</v>
      </c>
      <c r="L222" s="438">
        <f t="shared" si="62"/>
        <v>0</v>
      </c>
      <c r="M222" s="438">
        <f t="shared" si="62"/>
        <v>0</v>
      </c>
      <c r="N222" s="438">
        <f t="shared" si="62"/>
        <v>0</v>
      </c>
      <c r="O222" s="438">
        <f t="shared" si="62"/>
        <v>0</v>
      </c>
      <c r="P222" s="487">
        <f t="shared" ref="P222" si="63">SUM(D222:O222)</f>
        <v>0</v>
      </c>
      <c r="Q222" s="489"/>
      <c r="T222" s="397">
        <f t="shared" ref="T222:T248" si="64">+P222</f>
        <v>0</v>
      </c>
      <c r="U222" s="91" t="s">
        <v>276</v>
      </c>
      <c r="V222" s="86"/>
    </row>
    <row r="223" spans="1:22" ht="12.6" hidden="1" customHeight="1" x14ac:dyDescent="0.2">
      <c r="A223" s="258" t="str">
        <f>+A87</f>
        <v>INSSJP</v>
      </c>
      <c r="B223" s="260"/>
      <c r="C223" s="364"/>
      <c r="D223" s="438">
        <f>+D$219*Tablas!D41+D195</f>
        <v>71500</v>
      </c>
      <c r="E223" s="438">
        <f>+E$219*Tablas!E41+E195</f>
        <v>71500</v>
      </c>
      <c r="F223" s="438">
        <f>+F$219*Tablas!F41+F195</f>
        <v>71500</v>
      </c>
      <c r="G223" s="438">
        <f>+G$219*Tablas!G41+G195</f>
        <v>71500</v>
      </c>
      <c r="H223" s="438">
        <f>+H$219*Tablas!H41+H195</f>
        <v>71500</v>
      </c>
      <c r="I223" s="438">
        <f>+I$219*Tablas!I41+I195</f>
        <v>71500</v>
      </c>
      <c r="J223" s="438">
        <f>+J$219*Tablas!J41+J195</f>
        <v>71500</v>
      </c>
      <c r="K223" s="438">
        <f>+K$219*Tablas!K41+K195</f>
        <v>71500</v>
      </c>
      <c r="L223" s="438">
        <f>+L$219*Tablas!L41+L195</f>
        <v>71500</v>
      </c>
      <c r="M223" s="438">
        <f>+M$219*Tablas!M41+M195</f>
        <v>71500</v>
      </c>
      <c r="N223" s="438">
        <f>+N$219*Tablas!N41+N195</f>
        <v>71500</v>
      </c>
      <c r="O223" s="438">
        <f>+O$219*Tablas!O41+O195</f>
        <v>71500</v>
      </c>
      <c r="P223" s="487">
        <f>IF(Parametros!$B$13="Anual",SUM(D223:O223)-P195+I374+O374,SUM(D223:O223))</f>
        <v>858000</v>
      </c>
      <c r="Q223" s="488" t="str">
        <f>IF(Parametros!$B$13="Anual","Reemplazo de los aportes del SAC real x el del SAC prorrateado.","El reemplazo x el SAC grav Real se hizo en junio y diciembre.")</f>
        <v>Reemplazo de los aportes del SAC real x el del SAC prorrateado.</v>
      </c>
      <c r="T223" s="397">
        <f t="shared" si="64"/>
        <v>858000</v>
      </c>
      <c r="U223" s="91" t="s">
        <v>275</v>
      </c>
      <c r="V223" s="86"/>
    </row>
    <row r="224" spans="1:22" ht="12.6" hidden="1" customHeight="1" x14ac:dyDescent="0.2">
      <c r="A224" s="258" t="str">
        <f>+A88</f>
        <v>Obra Social</v>
      </c>
      <c r="B224" s="260"/>
      <c r="C224" s="364"/>
      <c r="D224" s="438">
        <f>+D$219*Tablas!D42+D196</f>
        <v>71500</v>
      </c>
      <c r="E224" s="438">
        <f>+E$219*Tablas!E42+E196</f>
        <v>71500</v>
      </c>
      <c r="F224" s="438">
        <f>+F$219*Tablas!F42+F196</f>
        <v>71500</v>
      </c>
      <c r="G224" s="438">
        <f>+G$219*Tablas!G42+G196</f>
        <v>71500</v>
      </c>
      <c r="H224" s="438">
        <f>+H$219*Tablas!H42+H196</f>
        <v>71500</v>
      </c>
      <c r="I224" s="438">
        <f>+I$219*Tablas!I42+I196</f>
        <v>71500</v>
      </c>
      <c r="J224" s="438">
        <f>+J$219*Tablas!J42+J196</f>
        <v>71500</v>
      </c>
      <c r="K224" s="438">
        <f>+K$219*Tablas!K42+K196</f>
        <v>71500</v>
      </c>
      <c r="L224" s="438">
        <f>+L$219*Tablas!L42+L196</f>
        <v>71500</v>
      </c>
      <c r="M224" s="438">
        <f>+M$219*Tablas!M42+M196</f>
        <v>71500</v>
      </c>
      <c r="N224" s="438">
        <f>+N$219*Tablas!N42+N196</f>
        <v>71500</v>
      </c>
      <c r="O224" s="438">
        <f>+O$219*Tablas!O42+O196</f>
        <v>71500</v>
      </c>
      <c r="P224" s="487">
        <f>IF(Parametros!$B$13="Anual",SUM(D224:O224)-P196+I375+O375,SUM(D224:O224))</f>
        <v>858000</v>
      </c>
      <c r="Q224" s="488" t="str">
        <f>IF(Parametros!$B$13="Anual","Reemplazo de los aportes del SAC real x el del SAC prorrateado.","El reemplazo x el SAC grav Real se hizo en junio y diciembre.")</f>
        <v>Reemplazo de los aportes del SAC real x el del SAC prorrateado.</v>
      </c>
      <c r="T224" s="397">
        <f t="shared" si="64"/>
        <v>858000</v>
      </c>
      <c r="U224" s="86" t="s">
        <v>277</v>
      </c>
      <c r="V224" s="86"/>
    </row>
    <row r="225" spans="1:22" ht="12.6" hidden="1" customHeight="1" x14ac:dyDescent="0.2">
      <c r="A225" s="258" t="s">
        <v>206</v>
      </c>
      <c r="B225" s="260"/>
      <c r="C225" s="364"/>
      <c r="D225" s="438">
        <f t="shared" ref="D225:O225" si="65">+D95</f>
        <v>0</v>
      </c>
      <c r="E225" s="438">
        <f t="shared" si="65"/>
        <v>0</v>
      </c>
      <c r="F225" s="438">
        <f t="shared" si="65"/>
        <v>0</v>
      </c>
      <c r="G225" s="438">
        <f t="shared" si="65"/>
        <v>0</v>
      </c>
      <c r="H225" s="438">
        <f t="shared" si="65"/>
        <v>0</v>
      </c>
      <c r="I225" s="438">
        <f t="shared" si="65"/>
        <v>0</v>
      </c>
      <c r="J225" s="438">
        <f t="shared" si="65"/>
        <v>0</v>
      </c>
      <c r="K225" s="438">
        <f t="shared" si="65"/>
        <v>0</v>
      </c>
      <c r="L225" s="438">
        <f t="shared" si="65"/>
        <v>0</v>
      </c>
      <c r="M225" s="438">
        <f t="shared" si="65"/>
        <v>0</v>
      </c>
      <c r="N225" s="438">
        <f t="shared" si="65"/>
        <v>0</v>
      </c>
      <c r="O225" s="438">
        <f t="shared" si="65"/>
        <v>0</v>
      </c>
      <c r="P225" s="487">
        <f>SUM(D225:O225)</f>
        <v>0</v>
      </c>
      <c r="Q225" s="488"/>
      <c r="T225" s="397">
        <f t="shared" si="64"/>
        <v>0</v>
      </c>
      <c r="U225" s="86" t="s">
        <v>278</v>
      </c>
      <c r="V225" s="86"/>
    </row>
    <row r="226" spans="1:22" ht="12.6" hidden="1" customHeight="1" x14ac:dyDescent="0.2">
      <c r="A226" s="258" t="str">
        <f>+A89</f>
        <v>Sindicato</v>
      </c>
      <c r="B226" s="260"/>
      <c r="C226" s="364"/>
      <c r="D226" s="438">
        <f>+D$217*Tablas!D43+D197</f>
        <v>0</v>
      </c>
      <c r="E226" s="438">
        <f>+E$217*Tablas!E43+E197</f>
        <v>0</v>
      </c>
      <c r="F226" s="438">
        <f>+F$217*Tablas!F43+F197</f>
        <v>0</v>
      </c>
      <c r="G226" s="438">
        <f>+G$217*Tablas!G43+G197</f>
        <v>0</v>
      </c>
      <c r="H226" s="438">
        <f>+H$217*Tablas!H43+H197</f>
        <v>0</v>
      </c>
      <c r="I226" s="438">
        <f>+I$217*Tablas!I43+I197</f>
        <v>0</v>
      </c>
      <c r="J226" s="438">
        <f>+J$217*Tablas!J43+J197</f>
        <v>0</v>
      </c>
      <c r="K226" s="438">
        <f>+K$217*Tablas!K43+K197</f>
        <v>0</v>
      </c>
      <c r="L226" s="438">
        <f>+L$217*Tablas!L43+L197</f>
        <v>0</v>
      </c>
      <c r="M226" s="438">
        <f>+M$217*Tablas!M43+M197</f>
        <v>0</v>
      </c>
      <c r="N226" s="438">
        <f>+N$217*Tablas!N43+N197</f>
        <v>0</v>
      </c>
      <c r="O226" s="438">
        <f>+O$217*Tablas!O43+O197</f>
        <v>0</v>
      </c>
      <c r="P226" s="487">
        <f>IF(Parametros!$B$13="Anual",SUM(D226:O226)-P197+I376+O376,SUM(D226:O226))</f>
        <v>0</v>
      </c>
      <c r="Q226" s="488" t="str">
        <f>IF(Parametros!$B$13="Anual","Reemplazo de los aportes del SAC real x el del SAC prorrateado.","El reemplazo x el SAC grav Real se hizo en junio y diciembre.")</f>
        <v>Reemplazo de los aportes del SAC real x el del SAC prorrateado.</v>
      </c>
      <c r="T226" s="397">
        <f t="shared" si="64"/>
        <v>0</v>
      </c>
      <c r="U226" s="86" t="s">
        <v>279</v>
      </c>
      <c r="V226" s="86"/>
    </row>
    <row r="227" spans="1:22" ht="12.6" hidden="1" customHeight="1" x14ac:dyDescent="0.2">
      <c r="A227" s="258" t="s">
        <v>207</v>
      </c>
      <c r="B227" s="260"/>
      <c r="C227" s="364"/>
      <c r="D227" s="438">
        <f t="shared" ref="D227:O227" si="66">+D96</f>
        <v>0</v>
      </c>
      <c r="E227" s="438">
        <f t="shared" si="66"/>
        <v>0</v>
      </c>
      <c r="F227" s="438">
        <f t="shared" si="66"/>
        <v>0</v>
      </c>
      <c r="G227" s="438">
        <f t="shared" si="66"/>
        <v>0</v>
      </c>
      <c r="H227" s="438">
        <f t="shared" si="66"/>
        <v>0</v>
      </c>
      <c r="I227" s="438">
        <f t="shared" si="66"/>
        <v>0</v>
      </c>
      <c r="J227" s="438">
        <f t="shared" si="66"/>
        <v>0</v>
      </c>
      <c r="K227" s="438">
        <f t="shared" si="66"/>
        <v>0</v>
      </c>
      <c r="L227" s="438">
        <f t="shared" si="66"/>
        <v>0</v>
      </c>
      <c r="M227" s="438">
        <f t="shared" si="66"/>
        <v>0</v>
      </c>
      <c r="N227" s="438">
        <f t="shared" si="66"/>
        <v>0</v>
      </c>
      <c r="O227" s="438">
        <f t="shared" si="66"/>
        <v>0</v>
      </c>
      <c r="P227" s="487">
        <f>SUM(D227:O227)</f>
        <v>0</v>
      </c>
      <c r="Q227" s="489"/>
      <c r="T227" s="397">
        <f t="shared" si="64"/>
        <v>0</v>
      </c>
      <c r="U227" s="86" t="s">
        <v>280</v>
      </c>
      <c r="V227" s="86"/>
    </row>
    <row r="228" spans="1:22" ht="12.6" hidden="1" customHeight="1" x14ac:dyDescent="0.2">
      <c r="A228" s="258" t="str">
        <f>+A90</f>
        <v>Otros descuentos (x Ej: importes fijos)</v>
      </c>
      <c r="B228" s="260"/>
      <c r="C228" s="260"/>
      <c r="D228" s="279">
        <f t="shared" ref="D228:O228" si="67">+D90+D198</f>
        <v>0</v>
      </c>
      <c r="E228" s="279">
        <f t="shared" si="67"/>
        <v>0</v>
      </c>
      <c r="F228" s="279">
        <f t="shared" si="67"/>
        <v>0</v>
      </c>
      <c r="G228" s="279">
        <f t="shared" si="67"/>
        <v>0</v>
      </c>
      <c r="H228" s="279">
        <f t="shared" si="67"/>
        <v>0</v>
      </c>
      <c r="I228" s="279">
        <f t="shared" si="67"/>
        <v>0</v>
      </c>
      <c r="J228" s="279">
        <f t="shared" si="67"/>
        <v>0</v>
      </c>
      <c r="K228" s="279">
        <f t="shared" si="67"/>
        <v>0</v>
      </c>
      <c r="L228" s="279">
        <f t="shared" si="67"/>
        <v>0</v>
      </c>
      <c r="M228" s="279">
        <f t="shared" si="67"/>
        <v>0</v>
      </c>
      <c r="N228" s="279">
        <f t="shared" si="67"/>
        <v>0</v>
      </c>
      <c r="O228" s="279">
        <f t="shared" si="67"/>
        <v>0</v>
      </c>
      <c r="P228" s="487">
        <f>IF(Parametros!$B$13="Anual",SUM(D228:O228)-P198+I377+O377,SUM(D228:O228))</f>
        <v>0</v>
      </c>
      <c r="Q228" s="488" t="str">
        <f>IF(Parametros!$B$13="Anual","Reemplazo de los aportes del SAC real x el del SAC prorrateado.","El reemplazo x el SAC grav Real se hizo en junio y diciembre.")</f>
        <v>Reemplazo de los aportes del SAC real x el del SAC prorrateado.</v>
      </c>
      <c r="T228" s="397">
        <f t="shared" si="64"/>
        <v>0</v>
      </c>
      <c r="U228" s="86" t="s">
        <v>279</v>
      </c>
      <c r="V228" s="86"/>
    </row>
    <row r="229" spans="1:22" ht="12.75" hidden="1" customHeight="1" x14ac:dyDescent="0.2">
      <c r="A229" s="258" t="s">
        <v>124</v>
      </c>
      <c r="B229" s="260"/>
      <c r="C229" s="260"/>
      <c r="D229" s="438">
        <f>+MIN(SUM(Deducciones!$D2:D2),Tablas!$O$7)</f>
        <v>0</v>
      </c>
      <c r="E229" s="438">
        <f>+MIN(SUM(Deducciones!$D2:E2),Tablas!$O$7)-SUM($D229:D229)</f>
        <v>0</v>
      </c>
      <c r="F229" s="438">
        <f>+MIN(SUM(Deducciones!$D2:F2),Tablas!$O$7)-SUM($D229:E229)</f>
        <v>0</v>
      </c>
      <c r="G229" s="438">
        <f>+MIN(SUM(Deducciones!$D2:G2),Tablas!$O$7)-SUM($D229:F229)</f>
        <v>0</v>
      </c>
      <c r="H229" s="438">
        <f>+MIN(SUM(Deducciones!$D2:H2),Tablas!$O$7)-SUM($D229:G229)</f>
        <v>0</v>
      </c>
      <c r="I229" s="438">
        <f>+MIN(SUM(Deducciones!$D2:I2),Tablas!$O$7)-SUM($D229:H229)</f>
        <v>0</v>
      </c>
      <c r="J229" s="438">
        <f>+MIN(SUM(Deducciones!$D2:J2),Tablas!$O$7)-SUM($D229:I229)</f>
        <v>0</v>
      </c>
      <c r="K229" s="438">
        <f>+MIN(SUM(Deducciones!$D2:K2),Tablas!$O$7)-SUM($D229:J229)</f>
        <v>0</v>
      </c>
      <c r="L229" s="438">
        <f>+MIN(SUM(Deducciones!$D2:L2),Tablas!$O$7)-SUM($D229:K229)</f>
        <v>0</v>
      </c>
      <c r="M229" s="438">
        <f>+MIN(SUM(Deducciones!$D2:M2),Tablas!$O$7)-SUM($D229:L229)</f>
        <v>0</v>
      </c>
      <c r="N229" s="438">
        <f>+MIN(SUM(Deducciones!$D2:N2),Tablas!$O$7)-SUM($D229:M229)</f>
        <v>0</v>
      </c>
      <c r="O229" s="438">
        <f>+MIN(SUM(Deducciones!$D2:O2),Tablas!$O$7)-SUM($D229:N229)</f>
        <v>0</v>
      </c>
      <c r="P229" s="487">
        <f>+SUM(D229:O229)</f>
        <v>0</v>
      </c>
      <c r="Q229" s="489"/>
      <c r="T229" s="397">
        <f t="shared" si="64"/>
        <v>0</v>
      </c>
      <c r="U229" s="86" t="s">
        <v>293</v>
      </c>
      <c r="V229" s="86"/>
    </row>
    <row r="230" spans="1:22" ht="12.75" hidden="1" customHeight="1" x14ac:dyDescent="0.2">
      <c r="A230" s="258" t="s">
        <v>14</v>
      </c>
      <c r="B230" s="260"/>
      <c r="C230" s="260"/>
      <c r="D230" s="438">
        <f>+MIN(SUM(Deducciones!$D3:D3),Tablas!$O$7)</f>
        <v>0</v>
      </c>
      <c r="E230" s="438">
        <f>+MIN(SUM(Deducciones!$D3:E3),Tablas!$O$7)-SUM($D230:D230)</f>
        <v>0</v>
      </c>
      <c r="F230" s="438">
        <f>+MIN(SUM(Deducciones!$D3:F3),Tablas!$O$7)-SUM($D230:E230)</f>
        <v>0</v>
      </c>
      <c r="G230" s="438">
        <f>+MIN(SUM(Deducciones!$D3:G3),Tablas!$O$7)-SUM($D230:F230)</f>
        <v>0</v>
      </c>
      <c r="H230" s="438">
        <f>+MIN(SUM(Deducciones!$D3:H3),Tablas!$O$7)-SUM($D230:G230)</f>
        <v>0</v>
      </c>
      <c r="I230" s="438">
        <f>+MIN(SUM(Deducciones!$D3:I3),Tablas!$O$7)-SUM($D230:H230)</f>
        <v>0</v>
      </c>
      <c r="J230" s="438">
        <f>+MIN(SUM(Deducciones!$D3:J3),Tablas!$O$7)-SUM($D230:I230)</f>
        <v>0</v>
      </c>
      <c r="K230" s="438">
        <f>+MIN(SUM(Deducciones!$D3:K3),Tablas!$O$7)-SUM($D230:J230)</f>
        <v>0</v>
      </c>
      <c r="L230" s="438">
        <f>+MIN(SUM(Deducciones!$D3:L3),Tablas!$O$7)-SUM($D230:K230)</f>
        <v>0</v>
      </c>
      <c r="M230" s="438">
        <f>+MIN(SUM(Deducciones!$D3:M3),Tablas!$O$7)-SUM($D230:L230)</f>
        <v>0</v>
      </c>
      <c r="N230" s="438">
        <f>+MIN(SUM(Deducciones!$D3:N3),Tablas!$O$7)-SUM($D230:M230)</f>
        <v>0</v>
      </c>
      <c r="O230" s="438">
        <f>+MIN(SUM(Deducciones!$D3:O3),Tablas!$O$7)-SUM($D230:N230)</f>
        <v>0</v>
      </c>
      <c r="P230" s="487">
        <f>+SUM(D230:O230)</f>
        <v>0</v>
      </c>
      <c r="Q230" s="489"/>
      <c r="T230" s="397">
        <f t="shared" si="64"/>
        <v>0</v>
      </c>
      <c r="U230" s="86" t="s">
        <v>294</v>
      </c>
      <c r="V230" s="86"/>
    </row>
    <row r="231" spans="1:22" ht="12.75" hidden="1" customHeight="1" x14ac:dyDescent="0.2">
      <c r="A231" s="258" t="s">
        <v>64</v>
      </c>
      <c r="B231" s="260"/>
      <c r="C231" s="260"/>
      <c r="D231" s="438">
        <f>+MIN(SUM(Deducciones!$D4:D4),Tablas!$O$14)</f>
        <v>0</v>
      </c>
      <c r="E231" s="438">
        <f>+MIN(SUM(Deducciones!$D4:E4),Tablas!$O$14)-SUM($D231:D231)</f>
        <v>0</v>
      </c>
      <c r="F231" s="438">
        <f>+MIN(SUM(Deducciones!$D4:F4),Tablas!$O$14)-SUM($D231:E231)</f>
        <v>0</v>
      </c>
      <c r="G231" s="438">
        <f>+MIN(SUM(Deducciones!$D4:G4),Tablas!$O$14)-SUM($D231:F231)</f>
        <v>0</v>
      </c>
      <c r="H231" s="438">
        <f>+MIN(SUM(Deducciones!$D4:H4),Tablas!$O$14)-SUM($D231:G231)</f>
        <v>0</v>
      </c>
      <c r="I231" s="438">
        <f>+MIN(SUM(Deducciones!$D4:I4),Tablas!$O$14)-SUM($D231:H231)</f>
        <v>0</v>
      </c>
      <c r="J231" s="438">
        <f>+MIN(SUM(Deducciones!$D4:J4),Tablas!$O$14)-SUM($D231:I231)</f>
        <v>0</v>
      </c>
      <c r="K231" s="438">
        <f>+MIN(SUM(Deducciones!$D4:K4),Tablas!$O$14)-SUM($D231:J231)</f>
        <v>0</v>
      </c>
      <c r="L231" s="438">
        <f>+MIN(SUM(Deducciones!$D4:L4),Tablas!$O$14)-SUM($D231:K231)</f>
        <v>0</v>
      </c>
      <c r="M231" s="438">
        <f>+MIN(SUM(Deducciones!$D4:M4),Tablas!$O$14)-SUM($D231:L231)</f>
        <v>0</v>
      </c>
      <c r="N231" s="438">
        <f>+MIN(SUM(Deducciones!$D4:N4),Tablas!$O$14)-SUM($D231:M231)</f>
        <v>0</v>
      </c>
      <c r="O231" s="438">
        <f>+MIN(SUM(Deducciones!$D4:O4),Tablas!$O$14)-SUM($D231:N231)</f>
        <v>0</v>
      </c>
      <c r="P231" s="487">
        <f>+SUM(D231:O231)</f>
        <v>0</v>
      </c>
      <c r="Q231" s="489"/>
      <c r="T231" s="397">
        <f t="shared" si="64"/>
        <v>0</v>
      </c>
      <c r="U231" s="86" t="s">
        <v>299</v>
      </c>
      <c r="V231" s="86"/>
    </row>
    <row r="232" spans="1:22" ht="12.75" hidden="1" customHeight="1" x14ac:dyDescent="0.2">
      <c r="A232" s="258" t="s">
        <v>15</v>
      </c>
      <c r="B232" s="260"/>
      <c r="C232" s="260"/>
      <c r="D232" s="438">
        <f>+MIN(SUM(Deducciones!$D5:D5),Tablas!$O$6)</f>
        <v>0</v>
      </c>
      <c r="E232" s="438">
        <f>+MIN(SUM(Deducciones!$D5:E5),Tablas!$O$6)-SUM($D232:D232)</f>
        <v>0</v>
      </c>
      <c r="F232" s="438">
        <f>+MIN(SUM(Deducciones!$D5:F5),Tablas!$O$6)-SUM($D232:E232)</f>
        <v>0</v>
      </c>
      <c r="G232" s="438">
        <f>+MIN(SUM(Deducciones!$D5:G5),Tablas!$O$6)-SUM($D232:F232)</f>
        <v>0</v>
      </c>
      <c r="H232" s="438">
        <f>+MIN(SUM(Deducciones!$D5:H5),Tablas!$O$6)-SUM($D232:G232)</f>
        <v>0</v>
      </c>
      <c r="I232" s="438">
        <f>+MIN(SUM(Deducciones!$D5:I5),Tablas!$O$6)-SUM($D232:H232)</f>
        <v>0</v>
      </c>
      <c r="J232" s="438">
        <f>+MIN(SUM(Deducciones!$D5:J5),Tablas!$O$6)-SUM($D232:I232)</f>
        <v>0</v>
      </c>
      <c r="K232" s="438">
        <f>+MIN(SUM(Deducciones!$D5:K5),Tablas!$O$6)-SUM($D232:J232)</f>
        <v>0</v>
      </c>
      <c r="L232" s="438">
        <f>+MIN(SUM(Deducciones!$D5:L5),Tablas!$O$6)-SUM($D232:K232)</f>
        <v>0</v>
      </c>
      <c r="M232" s="438">
        <f>+MIN(SUM(Deducciones!$D5:M5),Tablas!$O$6)-SUM($D232:L232)</f>
        <v>0</v>
      </c>
      <c r="N232" s="438">
        <f>+MIN(SUM(Deducciones!$D5:N5),Tablas!$O$6)-SUM($D232:M232)</f>
        <v>0</v>
      </c>
      <c r="O232" s="438">
        <f>+MIN(SUM(Deducciones!$D5:O5),Tablas!$O$6)-SUM($D232:N232)</f>
        <v>0</v>
      </c>
      <c r="P232" s="487">
        <f>+SUM(D232:O232)</f>
        <v>0</v>
      </c>
      <c r="Q232" s="489"/>
      <c r="T232" s="397">
        <f t="shared" si="64"/>
        <v>0</v>
      </c>
      <c r="U232" s="86" t="s">
        <v>291</v>
      </c>
      <c r="V232" s="86"/>
    </row>
    <row r="233" spans="1:22" ht="12.75" hidden="1" customHeight="1" x14ac:dyDescent="0.2">
      <c r="A233" s="490" t="s">
        <v>399</v>
      </c>
      <c r="B233" s="260"/>
      <c r="C233" s="260"/>
      <c r="D233" s="438">
        <v>0</v>
      </c>
      <c r="E233" s="438">
        <v>0</v>
      </c>
      <c r="F233" s="438">
        <v>0</v>
      </c>
      <c r="G233" s="438">
        <v>0</v>
      </c>
      <c r="H233" s="438">
        <v>0</v>
      </c>
      <c r="I233" s="438">
        <v>0</v>
      </c>
      <c r="J233" s="438">
        <v>0</v>
      </c>
      <c r="K233" s="438">
        <v>0</v>
      </c>
      <c r="L233" s="438">
        <v>0</v>
      </c>
      <c r="M233" s="438">
        <v>0</v>
      </c>
      <c r="N233" s="438">
        <v>0</v>
      </c>
      <c r="O233" s="438">
        <v>0</v>
      </c>
      <c r="P233" s="487">
        <f>+MIN(Deducciones!$P6,Tablas!$O$3)</f>
        <v>0</v>
      </c>
      <c r="Q233" s="489"/>
      <c r="S233" s="443"/>
      <c r="T233" s="397">
        <f t="shared" si="64"/>
        <v>0</v>
      </c>
      <c r="U233" s="86" t="s">
        <v>282</v>
      </c>
      <c r="V233" s="86"/>
    </row>
    <row r="234" spans="1:22" ht="12.75" hidden="1" customHeight="1" x14ac:dyDescent="0.2">
      <c r="A234" s="490" t="s">
        <v>400</v>
      </c>
      <c r="B234" s="260"/>
      <c r="C234" s="260"/>
      <c r="D234" s="438">
        <v>0</v>
      </c>
      <c r="E234" s="438">
        <v>0</v>
      </c>
      <c r="F234" s="438">
        <v>0</v>
      </c>
      <c r="G234" s="438">
        <v>0</v>
      </c>
      <c r="H234" s="438">
        <v>0</v>
      </c>
      <c r="I234" s="438">
        <v>0</v>
      </c>
      <c r="J234" s="438">
        <v>0</v>
      </c>
      <c r="K234" s="438">
        <v>0</v>
      </c>
      <c r="L234" s="438">
        <v>0</v>
      </c>
      <c r="M234" s="438">
        <v>0</v>
      </c>
      <c r="N234" s="438">
        <v>0</v>
      </c>
      <c r="O234" s="438">
        <v>0</v>
      </c>
      <c r="P234" s="487">
        <f>+MIN(Deducciones!$P7,Tablas!$O$3)</f>
        <v>0</v>
      </c>
      <c r="Q234" s="489"/>
      <c r="S234" s="443"/>
      <c r="T234" s="397">
        <f t="shared" si="64"/>
        <v>0</v>
      </c>
      <c r="U234" s="91" t="s">
        <v>283</v>
      </c>
      <c r="V234" s="86"/>
    </row>
    <row r="235" spans="1:22" ht="12.75" hidden="1" customHeight="1" x14ac:dyDescent="0.2">
      <c r="A235" s="490" t="s">
        <v>401</v>
      </c>
      <c r="B235" s="260"/>
      <c r="C235" s="260"/>
      <c r="D235" s="438">
        <v>0</v>
      </c>
      <c r="E235" s="438">
        <v>0</v>
      </c>
      <c r="F235" s="438">
        <v>0</v>
      </c>
      <c r="G235" s="438">
        <v>0</v>
      </c>
      <c r="H235" s="438">
        <v>0</v>
      </c>
      <c r="I235" s="438">
        <v>0</v>
      </c>
      <c r="J235" s="438">
        <v>0</v>
      </c>
      <c r="K235" s="438">
        <v>0</v>
      </c>
      <c r="L235" s="438">
        <v>0</v>
      </c>
      <c r="M235" s="438">
        <v>0</v>
      </c>
      <c r="N235" s="438">
        <v>0</v>
      </c>
      <c r="O235" s="438">
        <v>0</v>
      </c>
      <c r="P235" s="487">
        <f>+MIN(Deducciones!$P8,Tablas!$O$3)</f>
        <v>0</v>
      </c>
      <c r="Q235" s="489"/>
      <c r="S235" s="443"/>
      <c r="T235" s="397">
        <f t="shared" si="64"/>
        <v>0</v>
      </c>
      <c r="U235" s="86" t="s">
        <v>285</v>
      </c>
      <c r="V235" s="86"/>
    </row>
    <row r="236" spans="1:22" ht="12.75" hidden="1" customHeight="1" x14ac:dyDescent="0.2">
      <c r="A236" s="490" t="s">
        <v>403</v>
      </c>
      <c r="B236" s="260"/>
      <c r="C236" s="260"/>
      <c r="D236" s="438">
        <v>0</v>
      </c>
      <c r="E236" s="438">
        <v>0</v>
      </c>
      <c r="F236" s="438">
        <v>0</v>
      </c>
      <c r="G236" s="438">
        <v>0</v>
      </c>
      <c r="H236" s="438">
        <v>0</v>
      </c>
      <c r="I236" s="438">
        <v>0</v>
      </c>
      <c r="J236" s="438">
        <v>0</v>
      </c>
      <c r="K236" s="438">
        <v>0</v>
      </c>
      <c r="L236" s="438">
        <v>0</v>
      </c>
      <c r="M236" s="438">
        <v>0</v>
      </c>
      <c r="N236" s="438">
        <v>0</v>
      </c>
      <c r="O236" s="438">
        <v>0</v>
      </c>
      <c r="P236" s="487">
        <f>+MIN(Deducciones!$P9,Tablas!$O$3)</f>
        <v>0</v>
      </c>
      <c r="Q236" s="489"/>
      <c r="S236" s="443"/>
      <c r="T236" s="397">
        <f t="shared" si="64"/>
        <v>0</v>
      </c>
      <c r="U236" s="91" t="s">
        <v>284</v>
      </c>
      <c r="V236" s="86"/>
    </row>
    <row r="237" spans="1:22" ht="12.75" hidden="1" customHeight="1" x14ac:dyDescent="0.2">
      <c r="A237" s="258" t="s">
        <v>56</v>
      </c>
      <c r="B237" s="260"/>
      <c r="C237" s="260"/>
      <c r="D237" s="438">
        <f>+Deducciones!D10</f>
        <v>0</v>
      </c>
      <c r="E237" s="438">
        <f>+Deducciones!E10</f>
        <v>0</v>
      </c>
      <c r="F237" s="438">
        <f>+Deducciones!F10</f>
        <v>0</v>
      </c>
      <c r="G237" s="438">
        <f>+Deducciones!G10</f>
        <v>0</v>
      </c>
      <c r="H237" s="438">
        <f>+Deducciones!H10</f>
        <v>0</v>
      </c>
      <c r="I237" s="438">
        <f>+Deducciones!I10</f>
        <v>0</v>
      </c>
      <c r="J237" s="438">
        <f>+Deducciones!J10</f>
        <v>0</v>
      </c>
      <c r="K237" s="438">
        <f>+Deducciones!K10</f>
        <v>0</v>
      </c>
      <c r="L237" s="438">
        <f>+Deducciones!L10</f>
        <v>0</v>
      </c>
      <c r="M237" s="438">
        <f>+Deducciones!M10</f>
        <v>0</v>
      </c>
      <c r="N237" s="438">
        <f>+Deducciones!N10</f>
        <v>0</v>
      </c>
      <c r="O237" s="438">
        <f>+Deducciones!O10</f>
        <v>0</v>
      </c>
      <c r="P237" s="487">
        <f>+SUM(D237:O237)</f>
        <v>0</v>
      </c>
      <c r="Q237" s="489"/>
      <c r="S237" s="443"/>
      <c r="T237" s="397">
        <f t="shared" si="64"/>
        <v>0</v>
      </c>
      <c r="U237" s="86" t="s">
        <v>286</v>
      </c>
      <c r="V237" s="86"/>
    </row>
    <row r="238" spans="1:22" ht="12.75" hidden="1" customHeight="1" x14ac:dyDescent="0.2">
      <c r="A238" s="258" t="s">
        <v>90</v>
      </c>
      <c r="B238" s="260"/>
      <c r="C238" s="260"/>
      <c r="D238" s="438">
        <f>+Deducciones!D14</f>
        <v>0</v>
      </c>
      <c r="E238" s="438">
        <f>+Deducciones!E14</f>
        <v>0</v>
      </c>
      <c r="F238" s="438">
        <f>+Deducciones!F14</f>
        <v>0</v>
      </c>
      <c r="G238" s="438">
        <f>+Deducciones!G14</f>
        <v>0</v>
      </c>
      <c r="H238" s="438">
        <f>+Deducciones!H14</f>
        <v>0</v>
      </c>
      <c r="I238" s="438">
        <f>+Deducciones!I14</f>
        <v>0</v>
      </c>
      <c r="J238" s="438">
        <f>+Deducciones!J14</f>
        <v>0</v>
      </c>
      <c r="K238" s="438">
        <f>+Deducciones!K14</f>
        <v>0</v>
      </c>
      <c r="L238" s="438">
        <f>+Deducciones!L14</f>
        <v>0</v>
      </c>
      <c r="M238" s="438">
        <f>+Deducciones!M14</f>
        <v>0</v>
      </c>
      <c r="N238" s="438">
        <f>+Deducciones!N14</f>
        <v>0</v>
      </c>
      <c r="O238" s="438">
        <f>+Deducciones!O14</f>
        <v>0</v>
      </c>
      <c r="P238" s="487">
        <f>+SUM(D238:O238)</f>
        <v>0</v>
      </c>
      <c r="Q238" s="489"/>
      <c r="T238" s="397">
        <f t="shared" si="64"/>
        <v>0</v>
      </c>
      <c r="U238" s="86" t="s">
        <v>298</v>
      </c>
      <c r="V238" s="86"/>
    </row>
    <row r="239" spans="1:22" ht="12.75" hidden="1" customHeight="1" x14ac:dyDescent="0.2">
      <c r="A239" s="258" t="s">
        <v>85</v>
      </c>
      <c r="B239" s="260"/>
      <c r="C239" s="260"/>
      <c r="D239" s="438">
        <f>+Deducciones!D15</f>
        <v>0</v>
      </c>
      <c r="E239" s="438">
        <f>+Deducciones!E15</f>
        <v>0</v>
      </c>
      <c r="F239" s="438">
        <f>+Deducciones!F15</f>
        <v>0</v>
      </c>
      <c r="G239" s="438">
        <f>+Deducciones!G15</f>
        <v>0</v>
      </c>
      <c r="H239" s="438">
        <f>+Deducciones!H15</f>
        <v>0</v>
      </c>
      <c r="I239" s="438">
        <f>+Deducciones!I15</f>
        <v>0</v>
      </c>
      <c r="J239" s="438">
        <f>+Deducciones!J15</f>
        <v>0</v>
      </c>
      <c r="K239" s="438">
        <f>+Deducciones!K15</f>
        <v>0</v>
      </c>
      <c r="L239" s="438">
        <f>+Deducciones!L15</f>
        <v>0</v>
      </c>
      <c r="M239" s="438">
        <f>+Deducciones!M15</f>
        <v>0</v>
      </c>
      <c r="N239" s="438">
        <f>+Deducciones!N15</f>
        <v>0</v>
      </c>
      <c r="O239" s="438">
        <f>+Deducciones!O15</f>
        <v>0</v>
      </c>
      <c r="P239" s="487">
        <f>+SUM(D239:O239)</f>
        <v>0</v>
      </c>
      <c r="Q239" s="489"/>
      <c r="T239" s="397">
        <f t="shared" si="64"/>
        <v>0</v>
      </c>
      <c r="U239" s="91" t="s">
        <v>292</v>
      </c>
      <c r="V239" s="86"/>
    </row>
    <row r="240" spans="1:22" ht="12.75" hidden="1" customHeight="1" x14ac:dyDescent="0.2">
      <c r="A240" s="258" t="s">
        <v>88</v>
      </c>
      <c r="B240" s="260"/>
      <c r="C240" s="260"/>
      <c r="D240" s="438">
        <f>+Deducciones!D16</f>
        <v>0</v>
      </c>
      <c r="E240" s="438">
        <f>+Deducciones!E16</f>
        <v>0</v>
      </c>
      <c r="F240" s="438">
        <f>+Deducciones!F16</f>
        <v>0</v>
      </c>
      <c r="G240" s="438">
        <f>+Deducciones!G16</f>
        <v>0</v>
      </c>
      <c r="H240" s="438">
        <f>+Deducciones!H16</f>
        <v>0</v>
      </c>
      <c r="I240" s="438">
        <f>+Deducciones!I16</f>
        <v>0</v>
      </c>
      <c r="J240" s="438">
        <f>+Deducciones!J16</f>
        <v>0</v>
      </c>
      <c r="K240" s="438">
        <f>+Deducciones!K16</f>
        <v>0</v>
      </c>
      <c r="L240" s="438">
        <f>+Deducciones!L16</f>
        <v>0</v>
      </c>
      <c r="M240" s="438">
        <f>+Deducciones!M16</f>
        <v>0</v>
      </c>
      <c r="N240" s="438">
        <f>+Deducciones!N16</f>
        <v>0</v>
      </c>
      <c r="O240" s="438">
        <f>+Deducciones!O16</f>
        <v>0</v>
      </c>
      <c r="P240" s="487">
        <f>SUM(D240:O240)</f>
        <v>0</v>
      </c>
      <c r="Q240" s="489"/>
      <c r="T240" s="397">
        <f t="shared" si="64"/>
        <v>0</v>
      </c>
      <c r="U240" s="91" t="s">
        <v>287</v>
      </c>
      <c r="V240" s="86"/>
    </row>
    <row r="241" spans="1:22" ht="12.75" hidden="1" customHeight="1" x14ac:dyDescent="0.2">
      <c r="A241" s="258" t="s">
        <v>89</v>
      </c>
      <c r="B241" s="260"/>
      <c r="C241" s="260"/>
      <c r="D241" s="438">
        <f>+Deducciones!D17</f>
        <v>0</v>
      </c>
      <c r="E241" s="438">
        <f>+Deducciones!E17</f>
        <v>0</v>
      </c>
      <c r="F241" s="438">
        <f>+Deducciones!F17</f>
        <v>0</v>
      </c>
      <c r="G241" s="438">
        <f>+Deducciones!G17</f>
        <v>0</v>
      </c>
      <c r="H241" s="438">
        <f>+Deducciones!H17</f>
        <v>0</v>
      </c>
      <c r="I241" s="438">
        <f>+Deducciones!I17</f>
        <v>0</v>
      </c>
      <c r="J241" s="438">
        <f>+Deducciones!J17</f>
        <v>0</v>
      </c>
      <c r="K241" s="438">
        <f>+Deducciones!K17</f>
        <v>0</v>
      </c>
      <c r="L241" s="438">
        <f>+Deducciones!L17</f>
        <v>0</v>
      </c>
      <c r="M241" s="438">
        <f>+Deducciones!M17</f>
        <v>0</v>
      </c>
      <c r="N241" s="438">
        <f>+Deducciones!N17</f>
        <v>0</v>
      </c>
      <c r="O241" s="438">
        <f>+Deducciones!O17</f>
        <v>0</v>
      </c>
      <c r="P241" s="487">
        <f>SUM(D241:O241)</f>
        <v>0</v>
      </c>
      <c r="Q241" s="489"/>
      <c r="T241" s="397">
        <f t="shared" si="64"/>
        <v>0</v>
      </c>
      <c r="U241" s="91" t="s">
        <v>287</v>
      </c>
      <c r="V241" s="86"/>
    </row>
    <row r="242" spans="1:22" ht="12.75" hidden="1" customHeight="1" x14ac:dyDescent="0.2">
      <c r="A242" s="258" t="s">
        <v>121</v>
      </c>
      <c r="B242" s="260"/>
      <c r="C242" s="260"/>
      <c r="D242" s="438">
        <f>+Deducciones!D18</f>
        <v>0</v>
      </c>
      <c r="E242" s="438">
        <f>+Deducciones!E18</f>
        <v>0</v>
      </c>
      <c r="F242" s="438">
        <f>+Deducciones!F18</f>
        <v>0</v>
      </c>
      <c r="G242" s="438">
        <f>+Deducciones!G18</f>
        <v>0</v>
      </c>
      <c r="H242" s="438">
        <f>+Deducciones!H18</f>
        <v>0</v>
      </c>
      <c r="I242" s="438">
        <f>+Deducciones!I18</f>
        <v>0</v>
      </c>
      <c r="J242" s="438">
        <f>+Deducciones!J18</f>
        <v>0</v>
      </c>
      <c r="K242" s="438">
        <f>+Deducciones!K18</f>
        <v>0</v>
      </c>
      <c r="L242" s="438">
        <f>+Deducciones!L18</f>
        <v>0</v>
      </c>
      <c r="M242" s="438">
        <f>+Deducciones!M18</f>
        <v>0</v>
      </c>
      <c r="N242" s="438">
        <f>+Deducciones!N18</f>
        <v>0</v>
      </c>
      <c r="O242" s="438">
        <f>+Deducciones!O18</f>
        <v>0</v>
      </c>
      <c r="P242" s="487">
        <f>+SUM(D242:O242)</f>
        <v>0</v>
      </c>
      <c r="Q242" s="489"/>
      <c r="T242" s="397">
        <f t="shared" si="64"/>
        <v>0</v>
      </c>
      <c r="U242" s="91" t="s">
        <v>289</v>
      </c>
      <c r="V242" s="86"/>
    </row>
    <row r="243" spans="1:22" ht="12.75" hidden="1" customHeight="1" x14ac:dyDescent="0.2">
      <c r="A243" s="258" t="s">
        <v>122</v>
      </c>
      <c r="B243" s="260"/>
      <c r="C243" s="260"/>
      <c r="D243" s="438">
        <f>+Deducciones!D19</f>
        <v>0</v>
      </c>
      <c r="E243" s="438">
        <f>+Deducciones!E19</f>
        <v>0</v>
      </c>
      <c r="F243" s="438">
        <f>+Deducciones!F19</f>
        <v>0</v>
      </c>
      <c r="G243" s="438">
        <f>+Deducciones!G19</f>
        <v>0</v>
      </c>
      <c r="H243" s="438">
        <f>+Deducciones!H19</f>
        <v>0</v>
      </c>
      <c r="I243" s="438">
        <f>+Deducciones!I19</f>
        <v>0</v>
      </c>
      <c r="J243" s="438">
        <f>+Deducciones!J19</f>
        <v>0</v>
      </c>
      <c r="K243" s="438">
        <f>+Deducciones!K19</f>
        <v>0</v>
      </c>
      <c r="L243" s="438">
        <f>+Deducciones!L19</f>
        <v>0</v>
      </c>
      <c r="M243" s="438">
        <f>+Deducciones!M19</f>
        <v>0</v>
      </c>
      <c r="N243" s="438">
        <f>+Deducciones!N19</f>
        <v>0</v>
      </c>
      <c r="O243" s="438">
        <f>+Deducciones!O19</f>
        <v>0</v>
      </c>
      <c r="P243" s="487">
        <f>+SUM(D243:O243)</f>
        <v>0</v>
      </c>
      <c r="Q243" s="489"/>
      <c r="T243" s="397">
        <f t="shared" si="64"/>
        <v>0</v>
      </c>
      <c r="U243" s="91" t="s">
        <v>289</v>
      </c>
      <c r="V243" s="86"/>
    </row>
    <row r="244" spans="1:22" ht="12.75" hidden="1" customHeight="1" x14ac:dyDescent="0.2">
      <c r="A244" s="258"/>
      <c r="B244" s="260"/>
      <c r="C244" s="260"/>
      <c r="D244" s="438"/>
      <c r="E244" s="438"/>
      <c r="F244" s="438"/>
      <c r="G244" s="438"/>
      <c r="H244" s="438"/>
      <c r="I244" s="438"/>
      <c r="J244" s="438"/>
      <c r="K244" s="438"/>
      <c r="L244" s="438"/>
      <c r="M244" s="438"/>
      <c r="N244" s="438"/>
      <c r="O244" s="438"/>
      <c r="P244" s="487"/>
      <c r="Q244" s="489"/>
      <c r="T244" s="397">
        <f t="shared" si="64"/>
        <v>0</v>
      </c>
      <c r="U244" s="86"/>
      <c r="V244" s="86"/>
    </row>
    <row r="245" spans="1:22" ht="12.75" hidden="1" customHeight="1" x14ac:dyDescent="0.2">
      <c r="A245" s="258"/>
      <c r="B245" s="260"/>
      <c r="C245" s="260"/>
      <c r="D245" s="438"/>
      <c r="E245" s="438"/>
      <c r="F245" s="438"/>
      <c r="G245" s="438"/>
      <c r="H245" s="438"/>
      <c r="I245" s="438"/>
      <c r="J245" s="438"/>
      <c r="K245" s="438"/>
      <c r="L245" s="438"/>
      <c r="M245" s="438"/>
      <c r="N245" s="438"/>
      <c r="O245" s="438"/>
      <c r="P245" s="487"/>
      <c r="Q245" s="489"/>
      <c r="T245" s="397">
        <f t="shared" si="64"/>
        <v>0</v>
      </c>
      <c r="U245" s="86"/>
      <c r="V245" s="86"/>
    </row>
    <row r="246" spans="1:22" ht="12.75" hidden="1" customHeight="1" x14ac:dyDescent="0.2">
      <c r="A246" s="258"/>
      <c r="B246" s="260"/>
      <c r="C246" s="260"/>
      <c r="D246" s="438"/>
      <c r="E246" s="438"/>
      <c r="F246" s="438"/>
      <c r="G246" s="438"/>
      <c r="H246" s="438"/>
      <c r="I246" s="438"/>
      <c r="J246" s="438"/>
      <c r="K246" s="438"/>
      <c r="L246" s="438"/>
      <c r="M246" s="438"/>
      <c r="N246" s="438"/>
      <c r="O246" s="438"/>
      <c r="P246" s="487"/>
      <c r="Q246" s="489"/>
      <c r="T246" s="397">
        <f t="shared" si="64"/>
        <v>0</v>
      </c>
      <c r="U246" s="86"/>
      <c r="V246" s="86"/>
    </row>
    <row r="247" spans="1:22" ht="12.75" hidden="1" customHeight="1" x14ac:dyDescent="0.2">
      <c r="A247" s="258"/>
      <c r="B247" s="260"/>
      <c r="C247" s="260"/>
      <c r="D247" s="438"/>
      <c r="E247" s="438"/>
      <c r="F247" s="438"/>
      <c r="G247" s="438"/>
      <c r="H247" s="438"/>
      <c r="I247" s="438"/>
      <c r="J247" s="438"/>
      <c r="K247" s="438"/>
      <c r="L247" s="438"/>
      <c r="M247" s="438"/>
      <c r="N247" s="438"/>
      <c r="O247" s="438"/>
      <c r="P247" s="487"/>
      <c r="Q247" s="489"/>
      <c r="T247" s="397">
        <f t="shared" si="64"/>
        <v>0</v>
      </c>
      <c r="U247" s="86"/>
      <c r="V247" s="86"/>
    </row>
    <row r="248" spans="1:22" ht="12.75" hidden="1" customHeight="1" x14ac:dyDescent="0.2">
      <c r="A248" s="258"/>
      <c r="B248" s="260"/>
      <c r="C248" s="260"/>
      <c r="D248" s="438"/>
      <c r="E248" s="438"/>
      <c r="F248" s="438"/>
      <c r="G248" s="438"/>
      <c r="H248" s="438"/>
      <c r="I248" s="438"/>
      <c r="J248" s="438"/>
      <c r="K248" s="438"/>
      <c r="L248" s="438"/>
      <c r="M248" s="438"/>
      <c r="N248" s="438"/>
      <c r="O248" s="438"/>
      <c r="P248" s="487"/>
      <c r="Q248" s="489"/>
      <c r="T248" s="397">
        <f t="shared" si="64"/>
        <v>0</v>
      </c>
      <c r="U248" s="86"/>
      <c r="V248" s="86"/>
    </row>
    <row r="249" spans="1:22" ht="12.75" hidden="1" customHeight="1" thickBot="1" x14ac:dyDescent="0.25">
      <c r="A249" s="316" t="s">
        <v>27</v>
      </c>
      <c r="B249" s="491"/>
      <c r="C249" s="75"/>
      <c r="D249" s="344">
        <f t="shared" ref="D249:O249" si="68">SUM(D221:D248)</f>
        <v>405166.66666666669</v>
      </c>
      <c r="E249" s="344">
        <f t="shared" si="68"/>
        <v>405166.66666666669</v>
      </c>
      <c r="F249" s="344">
        <f t="shared" si="68"/>
        <v>405166.66666666669</v>
      </c>
      <c r="G249" s="344">
        <f t="shared" si="68"/>
        <v>405166.66666666669</v>
      </c>
      <c r="H249" s="344">
        <f t="shared" si="68"/>
        <v>405166.66666666669</v>
      </c>
      <c r="I249" s="344">
        <f t="shared" si="68"/>
        <v>405166.66666666669</v>
      </c>
      <c r="J249" s="344">
        <f t="shared" si="68"/>
        <v>405166.66666666669</v>
      </c>
      <c r="K249" s="344">
        <f t="shared" si="68"/>
        <v>405166.66666666669</v>
      </c>
      <c r="L249" s="344">
        <f t="shared" si="68"/>
        <v>405166.66666666669</v>
      </c>
      <c r="M249" s="344">
        <f t="shared" si="68"/>
        <v>405166.66666666669</v>
      </c>
      <c r="N249" s="344">
        <f t="shared" si="68"/>
        <v>405166.66666666669</v>
      </c>
      <c r="O249" s="344">
        <f t="shared" si="68"/>
        <v>405166.66666666669</v>
      </c>
      <c r="P249" s="331"/>
      <c r="Q249" s="326"/>
      <c r="T249" s="397"/>
      <c r="U249" s="86"/>
      <c r="V249" s="86"/>
    </row>
    <row r="250" spans="1:22" ht="16.899999999999999" hidden="1" customHeight="1" thickBot="1" x14ac:dyDescent="0.25">
      <c r="A250" s="492" t="s">
        <v>28</v>
      </c>
      <c r="B250" s="493"/>
      <c r="C250" s="494"/>
      <c r="D250" s="495">
        <f>+D249</f>
        <v>405166.66666666669</v>
      </c>
      <c r="E250" s="495">
        <f>+D250+E249</f>
        <v>810333.33333333337</v>
      </c>
      <c r="F250" s="495">
        <f>+E250+F249</f>
        <v>1215500</v>
      </c>
      <c r="G250" s="495">
        <f>+F250+G249</f>
        <v>1620666.6666666667</v>
      </c>
      <c r="H250" s="495">
        <f t="shared" ref="H250:L250" si="69">+G250+H249</f>
        <v>2025833.3333333335</v>
      </c>
      <c r="I250" s="495">
        <f t="shared" si="69"/>
        <v>2431000</v>
      </c>
      <c r="J250" s="495">
        <f t="shared" si="69"/>
        <v>2836166.6666666665</v>
      </c>
      <c r="K250" s="495">
        <f t="shared" si="69"/>
        <v>3241333.333333333</v>
      </c>
      <c r="L250" s="495">
        <f t="shared" si="69"/>
        <v>3646499.9999999995</v>
      </c>
      <c r="M250" s="495">
        <f t="shared" ref="M250" si="70">+L250+M249</f>
        <v>4051666.666666666</v>
      </c>
      <c r="N250" s="495">
        <f t="shared" ref="N250" si="71">+M250+N249</f>
        <v>4456833.333333333</v>
      </c>
      <c r="O250" s="495">
        <f t="shared" ref="O250" si="72">+N250+O249</f>
        <v>4862000</v>
      </c>
      <c r="P250" s="496">
        <f>SUM(P221:P248)</f>
        <v>4862000</v>
      </c>
      <c r="Q250" s="105"/>
      <c r="T250" s="360"/>
      <c r="U250" s="86"/>
      <c r="V250" s="86"/>
    </row>
    <row r="251" spans="1:22" ht="6" hidden="1" customHeight="1" x14ac:dyDescent="0.2">
      <c r="A251" s="311"/>
      <c r="B251" s="312"/>
      <c r="C251" s="312"/>
      <c r="D251" s="313"/>
      <c r="E251" s="313"/>
      <c r="F251" s="313"/>
      <c r="G251" s="313"/>
      <c r="H251" s="313"/>
      <c r="I251" s="313"/>
      <c r="J251" s="313"/>
      <c r="K251" s="313"/>
      <c r="L251" s="313"/>
      <c r="M251" s="313"/>
      <c r="N251" s="313"/>
      <c r="O251" s="313"/>
      <c r="P251" s="314"/>
      <c r="Q251" s="319"/>
      <c r="T251" s="360"/>
      <c r="U251" s="86"/>
      <c r="V251" s="86"/>
    </row>
    <row r="252" spans="1:22" ht="14.25" hidden="1" customHeight="1" x14ac:dyDescent="0.2">
      <c r="A252" s="316" t="s">
        <v>69</v>
      </c>
      <c r="B252" s="491"/>
      <c r="C252" s="491"/>
      <c r="D252" s="344">
        <f>MAX(0,D214-D250)</f>
        <v>1978166.6666666667</v>
      </c>
      <c r="E252" s="344">
        <f>MAX(0,SUM($D214:E214)-E250)</f>
        <v>3956333.3333333335</v>
      </c>
      <c r="F252" s="344">
        <f>MAX(0,SUM($D214:F214)-F250)</f>
        <v>5934500</v>
      </c>
      <c r="G252" s="344">
        <f>MAX(0,SUM($D214:G214)-G250)</f>
        <v>7912666.666666667</v>
      </c>
      <c r="H252" s="344">
        <f>MAX(0,SUM($D214:H214)-H250)</f>
        <v>9890833.333333334</v>
      </c>
      <c r="I252" s="344">
        <f>MAX(0,SUM($D214:I214)-I250)</f>
        <v>11869000.000000002</v>
      </c>
      <c r="J252" s="344">
        <f>MAX(0,SUM($D214:J214)-J250)</f>
        <v>13847166.66666667</v>
      </c>
      <c r="K252" s="344">
        <f>MAX(0,SUM($D214:K214)-K250)</f>
        <v>15825333.333333336</v>
      </c>
      <c r="L252" s="344">
        <f>MAX(0,SUM($D214:L214)-L250)</f>
        <v>17803500</v>
      </c>
      <c r="M252" s="344">
        <f>MAX(0,SUM($D214:M214)-M250)</f>
        <v>19781666.666666664</v>
      </c>
      <c r="N252" s="344">
        <f>MAX(0,SUM($D214:N214)-N250)</f>
        <v>21759833.333333332</v>
      </c>
      <c r="O252" s="344">
        <f>MAX(0,SUM($D214:O214)-O250)</f>
        <v>23737999.999999996</v>
      </c>
      <c r="P252" s="497">
        <f>MAX(0,P214-P250)</f>
        <v>23738000</v>
      </c>
      <c r="Q252" s="498"/>
      <c r="T252" s="360"/>
      <c r="U252" s="86"/>
      <c r="V252" s="86"/>
    </row>
    <row r="253" spans="1:22" ht="6.75" hidden="1" customHeight="1" x14ac:dyDescent="0.2">
      <c r="A253" s="311"/>
      <c r="B253" s="312"/>
      <c r="C253" s="312"/>
      <c r="D253" s="313"/>
      <c r="E253" s="313"/>
      <c r="F253" s="313"/>
      <c r="G253" s="313"/>
      <c r="H253" s="313"/>
      <c r="I253" s="313"/>
      <c r="J253" s="313"/>
      <c r="K253" s="313"/>
      <c r="L253" s="313"/>
      <c r="M253" s="313"/>
      <c r="N253" s="313"/>
      <c r="O253" s="313"/>
      <c r="P253" s="314"/>
      <c r="Q253" s="319"/>
      <c r="T253" s="360"/>
      <c r="U253" s="86"/>
      <c r="V253" s="86"/>
    </row>
    <row r="254" spans="1:22" ht="14.25" hidden="1" customHeight="1" x14ac:dyDescent="0.2">
      <c r="A254" s="316" t="s">
        <v>70</v>
      </c>
      <c r="B254" s="491"/>
      <c r="C254" s="491"/>
      <c r="D254" s="499">
        <f>+IF(D252&lt;0,0,D252*0.05)</f>
        <v>98908.333333333343</v>
      </c>
      <c r="E254" s="499">
        <f>+IF(E252&lt;0,0,E252*0.05)</f>
        <v>197816.66666666669</v>
      </c>
      <c r="F254" s="499">
        <f t="shared" ref="F254:K254" si="73">+IF(F252&lt;0,0,F252*0.05)</f>
        <v>296725</v>
      </c>
      <c r="G254" s="499">
        <f t="shared" si="73"/>
        <v>395633.33333333337</v>
      </c>
      <c r="H254" s="499">
        <f t="shared" si="73"/>
        <v>494541.66666666674</v>
      </c>
      <c r="I254" s="499">
        <f t="shared" si="73"/>
        <v>593450.00000000012</v>
      </c>
      <c r="J254" s="499">
        <f t="shared" si="73"/>
        <v>692358.33333333349</v>
      </c>
      <c r="K254" s="499">
        <f t="shared" si="73"/>
        <v>791266.66666666686</v>
      </c>
      <c r="L254" s="499">
        <f>+IF(L252&lt;0,0,L252*0.05)</f>
        <v>890175</v>
      </c>
      <c r="M254" s="499">
        <f>+IF(M252&lt;0,0,M252*0.05)</f>
        <v>989083.33333333326</v>
      </c>
      <c r="N254" s="499">
        <f>+IF(N252&lt;0,0,N252*0.05)</f>
        <v>1087991.6666666667</v>
      </c>
      <c r="O254" s="499">
        <f>+IF(O252&lt;0,0,O252*0.05)</f>
        <v>1186899.9999999998</v>
      </c>
      <c r="P254" s="500">
        <f>+IF(P252&lt;0,0,P252*0.05)</f>
        <v>1186900</v>
      </c>
      <c r="Q254" s="501"/>
      <c r="R254" s="443"/>
      <c r="T254" s="360"/>
      <c r="U254" s="86"/>
      <c r="V254" s="86"/>
    </row>
    <row r="255" spans="1:22" ht="12.75" hidden="1" customHeight="1" x14ac:dyDescent="0.2">
      <c r="A255" s="349" t="s">
        <v>29</v>
      </c>
      <c r="B255" s="75"/>
      <c r="D255" s="415">
        <f>+MAX(0,MIN(SUM(Deducciones!$D11:D11),D$254))</f>
        <v>0</v>
      </c>
      <c r="E255" s="415">
        <f>+MAX(0,MIN(SUM(Deducciones!$D11:E11),E$254)-SUM($D255:D255))</f>
        <v>0</v>
      </c>
      <c r="F255" s="415">
        <f>+MAX(0,MIN(SUM(Deducciones!$D11:F11),F$254)-SUM($D255:E255))</f>
        <v>0</v>
      </c>
      <c r="G255" s="415">
        <f>+MAX(0,MIN(SUM(Deducciones!$D11:G11),G$254)-SUM($D255:F255))</f>
        <v>0</v>
      </c>
      <c r="H255" s="415">
        <f>+MAX(0,MIN(SUM(Deducciones!$D11:H11),H$254)-SUM($D255:G255))</f>
        <v>0</v>
      </c>
      <c r="I255" s="415">
        <f>+MAX(0,MIN(SUM(Deducciones!$D11:I11),I$254)-SUM($D255:H255))</f>
        <v>0</v>
      </c>
      <c r="J255" s="415">
        <f>+MAX(0,MIN(SUM(Deducciones!$D11:J11),J$254)-SUM($D255:I255))</f>
        <v>0</v>
      </c>
      <c r="K255" s="415">
        <f>+MAX(0,MIN(SUM(Deducciones!$D11:K11),K$254)-SUM($D255:J255))</f>
        <v>0</v>
      </c>
      <c r="L255" s="415">
        <f>+MAX(0,MIN(SUM(Deducciones!$D11:L11),L$254)-SUM($D255:K255))</f>
        <v>0</v>
      </c>
      <c r="M255" s="415">
        <f>+MAX(0,MIN(SUM(Deducciones!$D11:M11),M$254)-SUM($D255:L255))</f>
        <v>0</v>
      </c>
      <c r="N255" s="415">
        <f>+MAX(0,MIN(SUM(Deducciones!$D11:N11),N$254)-SUM($D255:M255))</f>
        <v>0</v>
      </c>
      <c r="O255" s="415">
        <f>+MAX(0,MIN(SUM(Deducciones!$D11:O11),O$254)-SUM($D255:N255))</f>
        <v>0</v>
      </c>
      <c r="P255" s="502">
        <f>MAX(0,MIN(Deducciones!$P11,$P$254))</f>
        <v>0</v>
      </c>
      <c r="Q255" s="501"/>
      <c r="T255" s="397">
        <f>+P255</f>
        <v>0</v>
      </c>
      <c r="U255" s="86" t="s">
        <v>281</v>
      </c>
      <c r="V255" s="86"/>
    </row>
    <row r="256" spans="1:22" ht="12.75" hidden="1" customHeight="1" x14ac:dyDescent="0.2">
      <c r="A256" s="503" t="s">
        <v>402</v>
      </c>
      <c r="B256" s="75"/>
      <c r="D256" s="415">
        <v>0</v>
      </c>
      <c r="E256" s="415">
        <v>0</v>
      </c>
      <c r="F256" s="415">
        <v>0</v>
      </c>
      <c r="G256" s="415">
        <v>0</v>
      </c>
      <c r="H256" s="415">
        <v>0</v>
      </c>
      <c r="I256" s="415">
        <v>0</v>
      </c>
      <c r="J256" s="415">
        <v>0</v>
      </c>
      <c r="K256" s="415">
        <v>0</v>
      </c>
      <c r="L256" s="415">
        <v>0</v>
      </c>
      <c r="M256" s="415">
        <v>0</v>
      </c>
      <c r="N256" s="415">
        <v>0</v>
      </c>
      <c r="O256" s="415">
        <v>0</v>
      </c>
      <c r="P256" s="502">
        <f>MAX(0,MIN(Deducciones!$P12,$P$254))</f>
        <v>0</v>
      </c>
      <c r="Q256" s="501"/>
      <c r="T256" s="397">
        <f t="shared" ref="T256:T257" si="74">+P256</f>
        <v>0</v>
      </c>
      <c r="U256" s="86" t="s">
        <v>290</v>
      </c>
      <c r="V256" s="86"/>
    </row>
    <row r="257" spans="1:22" ht="12.75" hidden="1" customHeight="1" x14ac:dyDescent="0.2">
      <c r="A257" s="349" t="s">
        <v>17</v>
      </c>
      <c r="B257" s="75"/>
      <c r="D257" s="415">
        <f>+MAX(0,MIN(SUM(Deducciones!$D$13:D13),D$254))</f>
        <v>0</v>
      </c>
      <c r="E257" s="415">
        <f>+MAX(0,MIN(SUM(Deducciones!$D$13:E13),E$254)-SUM($D$257:D257))</f>
        <v>0</v>
      </c>
      <c r="F257" s="415">
        <f>+MAX(0,MIN(SUM(Deducciones!$D$13:F13),F$254)-SUM($D$257:E257))</f>
        <v>0</v>
      </c>
      <c r="G257" s="415">
        <f>+MAX(0,MIN(SUM(Deducciones!$D$13:G13),G$254)-SUM($D$257:F257))</f>
        <v>0</v>
      </c>
      <c r="H257" s="415">
        <f>+MAX(0,MIN(SUM(Deducciones!$D$13:H13),H$254)-SUM($D$257:G257))</f>
        <v>0</v>
      </c>
      <c r="I257" s="415">
        <f>+MAX(0,MIN(SUM(Deducciones!$D$13:I13),I$254)-SUM($D$257:H257))</f>
        <v>0</v>
      </c>
      <c r="J257" s="415">
        <f>+MAX(0,MIN(SUM(Deducciones!$D$13:J13),J$254)-SUM($D$257:I257))</f>
        <v>0</v>
      </c>
      <c r="K257" s="415">
        <f>+MAX(0,MIN(SUM(Deducciones!$D$13:K13),K$254)-SUM($D$257:J257))</f>
        <v>0</v>
      </c>
      <c r="L257" s="415">
        <f>+MAX(0,MIN(SUM(Deducciones!$D$13:L13),L$254)-SUM($D$257:K257))</f>
        <v>0</v>
      </c>
      <c r="M257" s="415">
        <f>+MAX(0,MIN(SUM(Deducciones!$D$13:M13),M$254)-SUM($D$257:L257))</f>
        <v>0</v>
      </c>
      <c r="N257" s="415">
        <f>+MAX(0,MIN(SUM(Deducciones!$D$13:N13),N$254)-SUM($D$257:M257))</f>
        <v>0</v>
      </c>
      <c r="O257" s="415">
        <f>+MAX(0,MIN(SUM(Deducciones!$D$13:O13),O$254)-SUM($D$257:N257))</f>
        <v>0</v>
      </c>
      <c r="P257" s="502">
        <f>MAX(0,MIN(Deducciones!$P13,$P$254))</f>
        <v>0</v>
      </c>
      <c r="Q257" s="501"/>
      <c r="T257" s="397">
        <f t="shared" si="74"/>
        <v>0</v>
      </c>
      <c r="U257" s="91" t="s">
        <v>288</v>
      </c>
      <c r="V257" s="86"/>
    </row>
    <row r="258" spans="1:22" ht="12.75" hidden="1" customHeight="1" thickBot="1" x14ac:dyDescent="0.25">
      <c r="A258" s="316" t="s">
        <v>114</v>
      </c>
      <c r="B258" s="491"/>
      <c r="C258" s="75"/>
      <c r="D258" s="344">
        <f t="shared" ref="D258:O258" si="75">SUM(D255:D257)</f>
        <v>0</v>
      </c>
      <c r="E258" s="344">
        <f t="shared" si="75"/>
        <v>0</v>
      </c>
      <c r="F258" s="344">
        <f t="shared" si="75"/>
        <v>0</v>
      </c>
      <c r="G258" s="344">
        <f t="shared" si="75"/>
        <v>0</v>
      </c>
      <c r="H258" s="344">
        <f t="shared" si="75"/>
        <v>0</v>
      </c>
      <c r="I258" s="344">
        <f t="shared" si="75"/>
        <v>0</v>
      </c>
      <c r="J258" s="344">
        <f t="shared" si="75"/>
        <v>0</v>
      </c>
      <c r="K258" s="344">
        <f t="shared" si="75"/>
        <v>0</v>
      </c>
      <c r="L258" s="344">
        <f t="shared" si="75"/>
        <v>0</v>
      </c>
      <c r="M258" s="344">
        <f>SUM(M255:M257)</f>
        <v>0</v>
      </c>
      <c r="N258" s="344">
        <f t="shared" si="75"/>
        <v>0</v>
      </c>
      <c r="O258" s="344">
        <f t="shared" si="75"/>
        <v>0</v>
      </c>
      <c r="P258" s="504"/>
      <c r="Q258" s="505"/>
      <c r="T258" s="360"/>
      <c r="U258" s="86"/>
      <c r="V258" s="86"/>
    </row>
    <row r="259" spans="1:22" ht="16.149999999999999" hidden="1" customHeight="1" thickBot="1" x14ac:dyDescent="0.25">
      <c r="A259" s="492" t="s">
        <v>75</v>
      </c>
      <c r="B259" s="493"/>
      <c r="C259" s="494"/>
      <c r="D259" s="495">
        <f>+D258</f>
        <v>0</v>
      </c>
      <c r="E259" s="495">
        <f>+D259+E258</f>
        <v>0</v>
      </c>
      <c r="F259" s="495">
        <f>+E259+F258</f>
        <v>0</v>
      </c>
      <c r="G259" s="495">
        <f t="shared" ref="G259:K259" si="76">+F259+G258</f>
        <v>0</v>
      </c>
      <c r="H259" s="495">
        <f t="shared" si="76"/>
        <v>0</v>
      </c>
      <c r="I259" s="495">
        <f t="shared" si="76"/>
        <v>0</v>
      </c>
      <c r="J259" s="495">
        <f t="shared" si="76"/>
        <v>0</v>
      </c>
      <c r="K259" s="495">
        <f t="shared" si="76"/>
        <v>0</v>
      </c>
      <c r="L259" s="495">
        <f>+K259+L258</f>
        <v>0</v>
      </c>
      <c r="M259" s="495">
        <f t="shared" ref="M259:O259" si="77">+L259+M258</f>
        <v>0</v>
      </c>
      <c r="N259" s="495">
        <f t="shared" si="77"/>
        <v>0</v>
      </c>
      <c r="O259" s="495">
        <f t="shared" si="77"/>
        <v>0</v>
      </c>
      <c r="P259" s="496">
        <f>+SUM(P255:P257)</f>
        <v>0</v>
      </c>
      <c r="Q259" s="105"/>
      <c r="T259" s="360"/>
      <c r="U259" s="86"/>
      <c r="V259" s="86"/>
    </row>
    <row r="260" spans="1:22" ht="7.9" hidden="1" customHeight="1" x14ac:dyDescent="0.2">
      <c r="A260" s="506"/>
      <c r="B260" s="507"/>
      <c r="C260" s="508"/>
      <c r="D260" s="509"/>
      <c r="E260" s="509"/>
      <c r="F260" s="509"/>
      <c r="G260" s="509"/>
      <c r="H260" s="509"/>
      <c r="I260" s="509"/>
      <c r="J260" s="509"/>
      <c r="K260" s="509"/>
      <c r="L260" s="509"/>
      <c r="M260" s="509"/>
      <c r="N260" s="509"/>
      <c r="O260" s="509"/>
      <c r="P260" s="510"/>
      <c r="Q260" s="278"/>
      <c r="T260" s="360"/>
      <c r="U260" s="86"/>
      <c r="V260" s="86"/>
    </row>
    <row r="261" spans="1:22" ht="14.45" hidden="1" customHeight="1" x14ac:dyDescent="0.2">
      <c r="A261" s="316" t="s">
        <v>236</v>
      </c>
      <c r="B261" s="491"/>
      <c r="C261" s="75"/>
      <c r="D261" s="344">
        <f>+D249+D258</f>
        <v>405166.66666666669</v>
      </c>
      <c r="E261" s="344">
        <f t="shared" ref="E261:O261" si="78">+E249+E258</f>
        <v>405166.66666666669</v>
      </c>
      <c r="F261" s="344">
        <f t="shared" si="78"/>
        <v>405166.66666666669</v>
      </c>
      <c r="G261" s="344">
        <f t="shared" si="78"/>
        <v>405166.66666666669</v>
      </c>
      <c r="H261" s="344">
        <f t="shared" si="78"/>
        <v>405166.66666666669</v>
      </c>
      <c r="I261" s="344">
        <f t="shared" si="78"/>
        <v>405166.66666666669</v>
      </c>
      <c r="J261" s="344">
        <f t="shared" si="78"/>
        <v>405166.66666666669</v>
      </c>
      <c r="K261" s="344">
        <f t="shared" si="78"/>
        <v>405166.66666666669</v>
      </c>
      <c r="L261" s="344">
        <f t="shared" si="78"/>
        <v>405166.66666666669</v>
      </c>
      <c r="M261" s="344">
        <f t="shared" si="78"/>
        <v>405166.66666666669</v>
      </c>
      <c r="N261" s="344">
        <f t="shared" si="78"/>
        <v>405166.66666666669</v>
      </c>
      <c r="O261" s="344">
        <f t="shared" si="78"/>
        <v>405166.66666666669</v>
      </c>
      <c r="P261" s="511"/>
      <c r="Q261" s="105"/>
      <c r="T261" s="360"/>
      <c r="U261" s="86"/>
      <c r="V261" s="86"/>
    </row>
    <row r="262" spans="1:22" ht="19.149999999999999" hidden="1" customHeight="1" x14ac:dyDescent="0.2">
      <c r="A262" s="512" t="s">
        <v>113</v>
      </c>
      <c r="B262" s="513"/>
      <c r="C262" s="514"/>
      <c r="D262" s="515">
        <f>+D250+D259</f>
        <v>405166.66666666669</v>
      </c>
      <c r="E262" s="515">
        <f t="shared" ref="E262:O262" si="79">+E250+E259</f>
        <v>810333.33333333337</v>
      </c>
      <c r="F262" s="515">
        <f t="shared" si="79"/>
        <v>1215500</v>
      </c>
      <c r="G262" s="515">
        <f t="shared" si="79"/>
        <v>1620666.6666666667</v>
      </c>
      <c r="H262" s="515">
        <f t="shared" si="79"/>
        <v>2025833.3333333335</v>
      </c>
      <c r="I262" s="515">
        <f t="shared" si="79"/>
        <v>2431000</v>
      </c>
      <c r="J262" s="515">
        <f t="shared" si="79"/>
        <v>2836166.6666666665</v>
      </c>
      <c r="K262" s="515">
        <f t="shared" si="79"/>
        <v>3241333.333333333</v>
      </c>
      <c r="L262" s="515">
        <f t="shared" si="79"/>
        <v>3646499.9999999995</v>
      </c>
      <c r="M262" s="515">
        <f>+M250+M259</f>
        <v>4051666.666666666</v>
      </c>
      <c r="N262" s="515">
        <f t="shared" si="79"/>
        <v>4456833.333333333</v>
      </c>
      <c r="O262" s="515">
        <f t="shared" si="79"/>
        <v>4862000</v>
      </c>
      <c r="P262" s="516">
        <f>+P250+P259</f>
        <v>4862000</v>
      </c>
      <c r="Q262" s="278"/>
      <c r="T262" s="517">
        <f>+P262</f>
        <v>4862000</v>
      </c>
      <c r="U262" s="90" t="s">
        <v>300</v>
      </c>
      <c r="V262" s="86"/>
    </row>
    <row r="263" spans="1:22" ht="6.75" hidden="1" customHeight="1" x14ac:dyDescent="0.2">
      <c r="A263" s="518"/>
      <c r="B263" s="508"/>
      <c r="C263" s="508"/>
      <c r="D263" s="519"/>
      <c r="E263" s="519"/>
      <c r="F263" s="519"/>
      <c r="G263" s="519"/>
      <c r="H263" s="519"/>
      <c r="I263" s="519"/>
      <c r="J263" s="519"/>
      <c r="K263" s="519"/>
      <c r="L263" s="519"/>
      <c r="M263" s="519"/>
      <c r="N263" s="519"/>
      <c r="O263" s="519"/>
      <c r="P263" s="314"/>
      <c r="Q263" s="319"/>
      <c r="T263" s="360"/>
      <c r="U263" s="86"/>
      <c r="V263" s="86"/>
    </row>
    <row r="264" spans="1:22" ht="15" hidden="1" customHeight="1" x14ac:dyDescent="0.2">
      <c r="A264" s="520" t="s">
        <v>93</v>
      </c>
      <c r="B264" s="521"/>
      <c r="C264" s="522"/>
      <c r="D264" s="523">
        <f t="shared" ref="D264:O264" si="80">+D214-D249-D258</f>
        <v>1978166.6666666667</v>
      </c>
      <c r="E264" s="523">
        <f t="shared" si="80"/>
        <v>1978166.6666666667</v>
      </c>
      <c r="F264" s="523">
        <f t="shared" si="80"/>
        <v>1978166.6666666667</v>
      </c>
      <c r="G264" s="523">
        <f t="shared" si="80"/>
        <v>1978166.6666666667</v>
      </c>
      <c r="H264" s="523">
        <f t="shared" si="80"/>
        <v>1978166.6666666667</v>
      </c>
      <c r="I264" s="523">
        <f t="shared" si="80"/>
        <v>1978166.6666666667</v>
      </c>
      <c r="J264" s="523">
        <f t="shared" si="80"/>
        <v>1978166.6666666667</v>
      </c>
      <c r="K264" s="523">
        <f t="shared" si="80"/>
        <v>1978166.6666666667</v>
      </c>
      <c r="L264" s="523">
        <f t="shared" si="80"/>
        <v>1978166.6666666667</v>
      </c>
      <c r="M264" s="523">
        <f t="shared" si="80"/>
        <v>1978166.6666666667</v>
      </c>
      <c r="N264" s="523">
        <f t="shared" si="80"/>
        <v>1978166.6666666667</v>
      </c>
      <c r="O264" s="523">
        <f t="shared" si="80"/>
        <v>1978166.6666666667</v>
      </c>
      <c r="P264" s="318"/>
      <c r="Q264" s="319"/>
      <c r="T264" s="360"/>
      <c r="U264" s="86"/>
      <c r="V264" s="86"/>
    </row>
    <row r="265" spans="1:22" ht="6.6" hidden="1" customHeight="1" thickBot="1" x14ac:dyDescent="0.25">
      <c r="A265" s="73" t="s">
        <v>123</v>
      </c>
      <c r="B265" s="74"/>
      <c r="C265" s="75"/>
      <c r="D265" s="11">
        <f>+MAX(0,D264)</f>
        <v>1978166.6666666667</v>
      </c>
      <c r="E265" s="11">
        <f t="shared" ref="E265:O265" si="81">+MAX(0,E264)</f>
        <v>1978166.6666666667</v>
      </c>
      <c r="F265" s="11">
        <f t="shared" si="81"/>
        <v>1978166.6666666667</v>
      </c>
      <c r="G265" s="11">
        <f t="shared" si="81"/>
        <v>1978166.6666666667</v>
      </c>
      <c r="H265" s="11">
        <f t="shared" si="81"/>
        <v>1978166.6666666667</v>
      </c>
      <c r="I265" s="11">
        <f t="shared" si="81"/>
        <v>1978166.6666666667</v>
      </c>
      <c r="J265" s="11">
        <f t="shared" si="81"/>
        <v>1978166.6666666667</v>
      </c>
      <c r="K265" s="11">
        <f t="shared" si="81"/>
        <v>1978166.6666666667</v>
      </c>
      <c r="L265" s="11">
        <f t="shared" si="81"/>
        <v>1978166.6666666667</v>
      </c>
      <c r="M265" s="11">
        <f t="shared" si="81"/>
        <v>1978166.6666666667</v>
      </c>
      <c r="N265" s="11">
        <f t="shared" si="81"/>
        <v>1978166.6666666667</v>
      </c>
      <c r="O265" s="11">
        <f t="shared" si="81"/>
        <v>1978166.6666666667</v>
      </c>
      <c r="P265" s="318"/>
      <c r="Q265" s="319"/>
      <c r="T265" s="360"/>
      <c r="U265" s="86"/>
      <c r="V265" s="86"/>
    </row>
    <row r="266" spans="1:22" ht="21.6" hidden="1" customHeight="1" thickBot="1" x14ac:dyDescent="0.25">
      <c r="A266" s="524" t="s">
        <v>94</v>
      </c>
      <c r="B266" s="525"/>
      <c r="C266" s="526"/>
      <c r="D266" s="527">
        <f>+D264</f>
        <v>1978166.6666666667</v>
      </c>
      <c r="E266" s="527">
        <f>+E264+D266</f>
        <v>3956333.3333333335</v>
      </c>
      <c r="F266" s="527">
        <f t="shared" ref="F266:G266" si="82">+F264+E266</f>
        <v>5934500</v>
      </c>
      <c r="G266" s="527">
        <f t="shared" si="82"/>
        <v>7912666.666666667</v>
      </c>
      <c r="H266" s="527">
        <f t="shared" ref="H266" si="83">+H264+G266</f>
        <v>9890833.333333334</v>
      </c>
      <c r="I266" s="527">
        <f t="shared" ref="I266" si="84">+I264+H266</f>
        <v>11869000</v>
      </c>
      <c r="J266" s="527">
        <f t="shared" ref="J266" si="85">+J264+I266</f>
        <v>13847166.666666666</v>
      </c>
      <c r="K266" s="527">
        <f t="shared" ref="K266" si="86">+K264+J266</f>
        <v>15825333.333333332</v>
      </c>
      <c r="L266" s="527">
        <f t="shared" ref="L266" si="87">+L264+K266</f>
        <v>17803500</v>
      </c>
      <c r="M266" s="527">
        <f t="shared" ref="M266" si="88">+M264+L266</f>
        <v>19781666.666666668</v>
      </c>
      <c r="N266" s="527">
        <f t="shared" ref="N266" si="89">+N264+M266</f>
        <v>21759833.333333336</v>
      </c>
      <c r="O266" s="527">
        <f t="shared" ref="O266" si="90">+O264+N266</f>
        <v>23738000.000000004</v>
      </c>
      <c r="P266" s="528">
        <f>+P214-P262</f>
        <v>23738000</v>
      </c>
      <c r="Q266" s="344"/>
      <c r="R266" s="444"/>
      <c r="T266" s="360"/>
      <c r="U266" s="86"/>
      <c r="V266" s="86"/>
    </row>
    <row r="267" spans="1:22" ht="6.75" hidden="1" customHeight="1" x14ac:dyDescent="0.2">
      <c r="A267" s="311"/>
      <c r="B267" s="312"/>
      <c r="C267" s="312"/>
      <c r="D267" s="313"/>
      <c r="E267" s="313"/>
      <c r="F267" s="313"/>
      <c r="G267" s="313"/>
      <c r="H267" s="313"/>
      <c r="I267" s="313"/>
      <c r="J267" s="313"/>
      <c r="K267" s="313"/>
      <c r="L267" s="313"/>
      <c r="M267" s="313"/>
      <c r="N267" s="313"/>
      <c r="O267" s="313"/>
      <c r="P267" s="314"/>
      <c r="Q267" s="319"/>
      <c r="T267" s="360"/>
      <c r="U267" s="86"/>
      <c r="V267" s="86"/>
    </row>
    <row r="268" spans="1:22" ht="19.149999999999999" hidden="1" customHeight="1" x14ac:dyDescent="0.2">
      <c r="A268" s="529" t="s">
        <v>72</v>
      </c>
      <c r="B268" s="530"/>
      <c r="C268" s="530"/>
      <c r="D268" s="530"/>
      <c r="E268" s="530"/>
      <c r="F268" s="530"/>
      <c r="G268" s="530"/>
      <c r="H268" s="530"/>
      <c r="I268" s="530"/>
      <c r="J268" s="530"/>
      <c r="K268" s="530"/>
      <c r="L268" s="530"/>
      <c r="M268" s="530"/>
      <c r="N268" s="530"/>
      <c r="O268" s="531"/>
      <c r="P268" s="318"/>
      <c r="Q268" s="278"/>
      <c r="T268" s="360"/>
      <c r="U268" s="86"/>
      <c r="V268" s="86"/>
    </row>
    <row r="269" spans="1:22" ht="15" hidden="1" customHeight="1" x14ac:dyDescent="0.2">
      <c r="A269" s="258" t="s">
        <v>100</v>
      </c>
      <c r="B269" s="260"/>
      <c r="C269" s="532"/>
      <c r="D269" s="533">
        <f>D320</f>
        <v>257586.25</v>
      </c>
      <c r="E269" s="533">
        <f t="shared" ref="E269:O269" si="91">E320</f>
        <v>257586.25</v>
      </c>
      <c r="F269" s="533">
        <f t="shared" si="91"/>
        <v>257586.25</v>
      </c>
      <c r="G269" s="533">
        <f t="shared" si="91"/>
        <v>257586.25</v>
      </c>
      <c r="H269" s="533">
        <f t="shared" si="91"/>
        <v>257586.25</v>
      </c>
      <c r="I269" s="533">
        <f t="shared" si="91"/>
        <v>257586.25</v>
      </c>
      <c r="J269" s="533">
        <f t="shared" si="91"/>
        <v>257586.25</v>
      </c>
      <c r="K269" s="533">
        <f t="shared" si="91"/>
        <v>257586.25</v>
      </c>
      <c r="L269" s="533">
        <f t="shared" si="91"/>
        <v>257586.25</v>
      </c>
      <c r="M269" s="533">
        <f t="shared" si="91"/>
        <v>257586.25</v>
      </c>
      <c r="N269" s="533">
        <f t="shared" si="91"/>
        <v>257586.25</v>
      </c>
      <c r="O269" s="533">
        <f t="shared" si="91"/>
        <v>257586.25</v>
      </c>
      <c r="P269" s="502"/>
      <c r="Q269" s="278"/>
      <c r="R269" s="255"/>
      <c r="T269" s="360"/>
      <c r="U269" s="86"/>
      <c r="V269" s="86"/>
    </row>
    <row r="270" spans="1:22" ht="15" hidden="1" customHeight="1" x14ac:dyDescent="0.2">
      <c r="A270" s="258" t="s">
        <v>101</v>
      </c>
      <c r="B270" s="260"/>
      <c r="C270" s="532"/>
      <c r="D270" s="533">
        <f>D322</f>
        <v>0</v>
      </c>
      <c r="E270" s="533">
        <f t="shared" ref="E270:O270" si="92">E322</f>
        <v>0</v>
      </c>
      <c r="F270" s="533">
        <f t="shared" si="92"/>
        <v>0</v>
      </c>
      <c r="G270" s="533">
        <f t="shared" si="92"/>
        <v>0</v>
      </c>
      <c r="H270" s="533">
        <f t="shared" si="92"/>
        <v>0</v>
      </c>
      <c r="I270" s="533">
        <f t="shared" si="92"/>
        <v>0</v>
      </c>
      <c r="J270" s="533">
        <f t="shared" si="92"/>
        <v>0</v>
      </c>
      <c r="K270" s="533">
        <f t="shared" si="92"/>
        <v>0</v>
      </c>
      <c r="L270" s="533">
        <f t="shared" si="92"/>
        <v>0</v>
      </c>
      <c r="M270" s="533">
        <f t="shared" si="92"/>
        <v>0</v>
      </c>
      <c r="N270" s="533">
        <f t="shared" si="92"/>
        <v>0</v>
      </c>
      <c r="O270" s="533">
        <f t="shared" si="92"/>
        <v>0</v>
      </c>
      <c r="P270" s="502"/>
      <c r="Q270" s="278"/>
      <c r="R270" s="255"/>
      <c r="T270" s="360"/>
      <c r="U270" s="86"/>
      <c r="V270" s="86"/>
    </row>
    <row r="271" spans="1:22" ht="15" hidden="1" customHeight="1" x14ac:dyDescent="0.2">
      <c r="A271" s="258" t="s">
        <v>98</v>
      </c>
      <c r="B271" s="260"/>
      <c r="C271" s="532"/>
      <c r="D271" s="533">
        <f>D324</f>
        <v>0</v>
      </c>
      <c r="E271" s="533">
        <f t="shared" ref="E271:O271" si="93">E324</f>
        <v>0</v>
      </c>
      <c r="F271" s="533">
        <f t="shared" si="93"/>
        <v>0</v>
      </c>
      <c r="G271" s="533">
        <f t="shared" si="93"/>
        <v>0</v>
      </c>
      <c r="H271" s="533">
        <f t="shared" si="93"/>
        <v>0</v>
      </c>
      <c r="I271" s="533">
        <f t="shared" si="93"/>
        <v>0</v>
      </c>
      <c r="J271" s="533">
        <f t="shared" si="93"/>
        <v>0</v>
      </c>
      <c r="K271" s="533">
        <f t="shared" si="93"/>
        <v>0</v>
      </c>
      <c r="L271" s="533">
        <f t="shared" si="93"/>
        <v>0</v>
      </c>
      <c r="M271" s="533">
        <f t="shared" si="93"/>
        <v>0</v>
      </c>
      <c r="N271" s="533">
        <f t="shared" si="93"/>
        <v>0</v>
      </c>
      <c r="O271" s="533">
        <f t="shared" si="93"/>
        <v>0</v>
      </c>
      <c r="P271" s="502"/>
      <c r="Q271" s="278"/>
      <c r="R271" s="255"/>
      <c r="T271" s="360"/>
      <c r="U271" s="86"/>
      <c r="V271" s="86"/>
    </row>
    <row r="272" spans="1:22" ht="15" hidden="1" customHeight="1" x14ac:dyDescent="0.2">
      <c r="A272" s="258" t="s">
        <v>99</v>
      </c>
      <c r="B272" s="260"/>
      <c r="C272" s="532"/>
      <c r="D272" s="533">
        <f>D326</f>
        <v>0</v>
      </c>
      <c r="E272" s="533">
        <f t="shared" ref="E272:O272" si="94">E326</f>
        <v>0</v>
      </c>
      <c r="F272" s="533">
        <f t="shared" si="94"/>
        <v>0</v>
      </c>
      <c r="G272" s="533">
        <f t="shared" si="94"/>
        <v>0</v>
      </c>
      <c r="H272" s="533">
        <f t="shared" si="94"/>
        <v>0</v>
      </c>
      <c r="I272" s="533">
        <f t="shared" si="94"/>
        <v>0</v>
      </c>
      <c r="J272" s="533">
        <f t="shared" si="94"/>
        <v>0</v>
      </c>
      <c r="K272" s="533">
        <f t="shared" si="94"/>
        <v>0</v>
      </c>
      <c r="L272" s="533">
        <f t="shared" si="94"/>
        <v>0</v>
      </c>
      <c r="M272" s="533">
        <f t="shared" si="94"/>
        <v>0</v>
      </c>
      <c r="N272" s="533">
        <f t="shared" si="94"/>
        <v>0</v>
      </c>
      <c r="O272" s="533">
        <f t="shared" si="94"/>
        <v>0</v>
      </c>
      <c r="P272" s="502"/>
      <c r="Q272" s="278"/>
      <c r="R272" s="255"/>
      <c r="T272" s="360"/>
      <c r="U272" s="86"/>
      <c r="V272" s="86"/>
    </row>
    <row r="273" spans="1:22" ht="15" hidden="1" customHeight="1" x14ac:dyDescent="0.2">
      <c r="A273" s="258" t="s">
        <v>73</v>
      </c>
      <c r="B273" s="260"/>
      <c r="C273" s="532"/>
      <c r="D273" s="533">
        <f>D328</f>
        <v>1236414</v>
      </c>
      <c r="E273" s="533">
        <f t="shared" ref="E273:O273" si="95">E328</f>
        <v>1236414</v>
      </c>
      <c r="F273" s="533">
        <f t="shared" si="95"/>
        <v>1236414</v>
      </c>
      <c r="G273" s="533">
        <f t="shared" si="95"/>
        <v>1236414</v>
      </c>
      <c r="H273" s="533">
        <f t="shared" si="95"/>
        <v>1236414</v>
      </c>
      <c r="I273" s="533">
        <f t="shared" si="95"/>
        <v>1236414</v>
      </c>
      <c r="J273" s="533">
        <f t="shared" si="95"/>
        <v>1236414</v>
      </c>
      <c r="K273" s="533">
        <f t="shared" si="95"/>
        <v>1236414</v>
      </c>
      <c r="L273" s="533">
        <f t="shared" si="95"/>
        <v>1236414</v>
      </c>
      <c r="M273" s="533">
        <f t="shared" si="95"/>
        <v>1236414</v>
      </c>
      <c r="N273" s="533">
        <f t="shared" si="95"/>
        <v>1236414</v>
      </c>
      <c r="O273" s="533">
        <f t="shared" si="95"/>
        <v>1236414</v>
      </c>
      <c r="P273" s="502"/>
      <c r="Q273" s="278"/>
      <c r="R273" s="255"/>
      <c r="T273" s="360"/>
      <c r="U273" s="86"/>
      <c r="V273" s="86"/>
    </row>
    <row r="274" spans="1:22" ht="15" hidden="1" customHeight="1" x14ac:dyDescent="0.2">
      <c r="A274" s="258" t="s">
        <v>440</v>
      </c>
      <c r="B274" s="260"/>
      <c r="C274" s="532"/>
      <c r="D274" s="533">
        <f>SUM(D269:D273)/12</f>
        <v>124500.02083333333</v>
      </c>
      <c r="E274" s="533">
        <f>SUM(E269:E273)/12</f>
        <v>124500.02083333333</v>
      </c>
      <c r="F274" s="533">
        <f t="shared" ref="F274:O274" si="96">SUM(F269:F273)/12</f>
        <v>124500.02083333333</v>
      </c>
      <c r="G274" s="533">
        <f t="shared" si="96"/>
        <v>124500.02083333333</v>
      </c>
      <c r="H274" s="533">
        <f t="shared" si="96"/>
        <v>124500.02083333333</v>
      </c>
      <c r="I274" s="533">
        <f t="shared" si="96"/>
        <v>124500.02083333333</v>
      </c>
      <c r="J274" s="533">
        <f t="shared" si="96"/>
        <v>124500.02083333333</v>
      </c>
      <c r="K274" s="533">
        <f>SUM(K269:K273)/12</f>
        <v>124500.02083333333</v>
      </c>
      <c r="L274" s="533">
        <f t="shared" si="96"/>
        <v>124500.02083333333</v>
      </c>
      <c r="M274" s="533">
        <f t="shared" si="96"/>
        <v>124500.02083333333</v>
      </c>
      <c r="N274" s="533">
        <f t="shared" si="96"/>
        <v>124500.02083333333</v>
      </c>
      <c r="O274" s="533">
        <f t="shared" si="96"/>
        <v>124500.02083333333</v>
      </c>
      <c r="P274" s="502"/>
      <c r="Q274" s="278"/>
      <c r="R274" s="255"/>
      <c r="T274" s="360"/>
      <c r="U274" s="86"/>
      <c r="V274" s="86"/>
    </row>
    <row r="275" spans="1:22" ht="16.149999999999999" hidden="1" customHeight="1" x14ac:dyDescent="0.2">
      <c r="A275" s="520" t="s">
        <v>30</v>
      </c>
      <c r="B275" s="521"/>
      <c r="C275" s="522"/>
      <c r="D275" s="523">
        <f>SUM(D269:D274)</f>
        <v>1618500.2708333333</v>
      </c>
      <c r="E275" s="523">
        <f>SUM(E269:E274)</f>
        <v>1618500.2708333333</v>
      </c>
      <c r="F275" s="523">
        <f t="shared" ref="F275:O275" si="97">SUM(F269:F274)</f>
        <v>1618500.2708333333</v>
      </c>
      <c r="G275" s="523">
        <f t="shared" si="97"/>
        <v>1618500.2708333333</v>
      </c>
      <c r="H275" s="523">
        <f>SUM(H269:H274)</f>
        <v>1618500.2708333333</v>
      </c>
      <c r="I275" s="523">
        <f t="shared" si="97"/>
        <v>1618500.2708333333</v>
      </c>
      <c r="J275" s="523">
        <f t="shared" si="97"/>
        <v>1618500.2708333333</v>
      </c>
      <c r="K275" s="523">
        <f t="shared" si="97"/>
        <v>1618500.2708333333</v>
      </c>
      <c r="L275" s="523">
        <f t="shared" si="97"/>
        <v>1618500.2708333333</v>
      </c>
      <c r="M275" s="523">
        <f t="shared" si="97"/>
        <v>1618500.2708333333</v>
      </c>
      <c r="N275" s="523">
        <f t="shared" si="97"/>
        <v>1618500.2708333333</v>
      </c>
      <c r="O275" s="523">
        <f t="shared" si="97"/>
        <v>1618500.2708333333</v>
      </c>
      <c r="P275" s="534"/>
      <c r="Q275" s="278"/>
      <c r="T275" s="360"/>
      <c r="U275" s="86"/>
      <c r="V275" s="86"/>
    </row>
    <row r="276" spans="1:22" ht="18.600000000000001" hidden="1" customHeight="1" x14ac:dyDescent="0.2">
      <c r="A276" s="535" t="s">
        <v>115</v>
      </c>
      <c r="B276" s="536"/>
      <c r="C276" s="537"/>
      <c r="D276" s="538"/>
      <c r="E276" s="538"/>
      <c r="F276" s="538"/>
      <c r="G276" s="538"/>
      <c r="H276" s="538"/>
      <c r="I276" s="538"/>
      <c r="J276" s="538"/>
      <c r="K276" s="538"/>
      <c r="L276" s="538"/>
      <c r="M276" s="538"/>
      <c r="N276" s="538"/>
      <c r="O276" s="538"/>
      <c r="P276" s="534"/>
      <c r="Q276" s="278"/>
      <c r="R276" s="539" t="s">
        <v>135</v>
      </c>
      <c r="T276" s="360"/>
      <c r="U276" s="86"/>
      <c r="V276" s="86"/>
    </row>
    <row r="277" spans="1:22" ht="16.899999999999999" hidden="1" customHeight="1" x14ac:dyDescent="0.2">
      <c r="A277" s="332" t="s">
        <v>116</v>
      </c>
      <c r="B277" s="281"/>
      <c r="C277" s="281"/>
      <c r="D277" s="262">
        <f>D321</f>
        <v>257586.25</v>
      </c>
      <c r="E277" s="262">
        <f t="shared" ref="E277:O277" si="98">E321</f>
        <v>515172.5</v>
      </c>
      <c r="F277" s="262">
        <f t="shared" si="98"/>
        <v>772758.75</v>
      </c>
      <c r="G277" s="262">
        <f t="shared" si="98"/>
        <v>1030345</v>
      </c>
      <c r="H277" s="262">
        <f t="shared" si="98"/>
        <v>1287931.25</v>
      </c>
      <c r="I277" s="262">
        <f t="shared" si="98"/>
        <v>1545517.5</v>
      </c>
      <c r="J277" s="262">
        <f t="shared" si="98"/>
        <v>1803103.75</v>
      </c>
      <c r="K277" s="262">
        <f t="shared" si="98"/>
        <v>2060690</v>
      </c>
      <c r="L277" s="262">
        <f t="shared" si="98"/>
        <v>2318276.25</v>
      </c>
      <c r="M277" s="262">
        <f t="shared" si="98"/>
        <v>2575862.5</v>
      </c>
      <c r="N277" s="262">
        <f t="shared" si="98"/>
        <v>2833448.75</v>
      </c>
      <c r="O277" s="262">
        <f t="shared" si="98"/>
        <v>3091035</v>
      </c>
      <c r="P277" s="540">
        <f>+MAX(0,IF($P$266&lt;R277,$P$266,R277))</f>
        <v>3091035</v>
      </c>
      <c r="Q277" s="278"/>
      <c r="R277" s="541">
        <f>O321</f>
        <v>3091035</v>
      </c>
      <c r="T277" s="397">
        <f t="shared" ref="T277:T281" si="99">+P277</f>
        <v>3091035</v>
      </c>
      <c r="U277" s="86" t="s">
        <v>301</v>
      </c>
      <c r="V277" s="86"/>
    </row>
    <row r="278" spans="1:22" ht="16.899999999999999" hidden="1" customHeight="1" x14ac:dyDescent="0.2">
      <c r="A278" s="332" t="s">
        <v>117</v>
      </c>
      <c r="B278" s="281"/>
      <c r="C278" s="281"/>
      <c r="D278" s="262">
        <f>D323</f>
        <v>0</v>
      </c>
      <c r="E278" s="262">
        <f t="shared" ref="E278:O278" si="100">E323</f>
        <v>0</v>
      </c>
      <c r="F278" s="262">
        <f t="shared" si="100"/>
        <v>0</v>
      </c>
      <c r="G278" s="262">
        <f t="shared" si="100"/>
        <v>0</v>
      </c>
      <c r="H278" s="262">
        <f t="shared" si="100"/>
        <v>0</v>
      </c>
      <c r="I278" s="262">
        <f t="shared" si="100"/>
        <v>0</v>
      </c>
      <c r="J278" s="262">
        <f t="shared" si="100"/>
        <v>0</v>
      </c>
      <c r="K278" s="262">
        <f t="shared" si="100"/>
        <v>0</v>
      </c>
      <c r="L278" s="262">
        <f t="shared" si="100"/>
        <v>0</v>
      </c>
      <c r="M278" s="262">
        <f t="shared" si="100"/>
        <v>0</v>
      </c>
      <c r="N278" s="262">
        <f t="shared" si="100"/>
        <v>0</v>
      </c>
      <c r="O278" s="262">
        <f t="shared" si="100"/>
        <v>0</v>
      </c>
      <c r="P278" s="540">
        <f>+MAX(0,IF(P266-P277&lt;R278,P266-P277,R278))</f>
        <v>0</v>
      </c>
      <c r="Q278" s="278"/>
      <c r="R278" s="541">
        <f>O323</f>
        <v>0</v>
      </c>
      <c r="T278" s="397">
        <f t="shared" si="99"/>
        <v>0</v>
      </c>
      <c r="U278" s="86" t="s">
        <v>302</v>
      </c>
      <c r="V278" s="86"/>
    </row>
    <row r="279" spans="1:22" ht="16.899999999999999" hidden="1" customHeight="1" x14ac:dyDescent="0.2">
      <c r="A279" s="332" t="s">
        <v>118</v>
      </c>
      <c r="B279" s="281"/>
      <c r="C279" s="281"/>
      <c r="D279" s="262">
        <f>D325</f>
        <v>0</v>
      </c>
      <c r="E279" s="262">
        <f t="shared" ref="E279:O279" si="101">E325</f>
        <v>0</v>
      </c>
      <c r="F279" s="262">
        <f t="shared" si="101"/>
        <v>0</v>
      </c>
      <c r="G279" s="262">
        <f t="shared" si="101"/>
        <v>0</v>
      </c>
      <c r="H279" s="262">
        <f t="shared" si="101"/>
        <v>0</v>
      </c>
      <c r="I279" s="262">
        <f t="shared" si="101"/>
        <v>0</v>
      </c>
      <c r="J279" s="262">
        <f t="shared" si="101"/>
        <v>0</v>
      </c>
      <c r="K279" s="262">
        <f t="shared" si="101"/>
        <v>0</v>
      </c>
      <c r="L279" s="262">
        <f t="shared" si="101"/>
        <v>0</v>
      </c>
      <c r="M279" s="262">
        <f t="shared" si="101"/>
        <v>0</v>
      </c>
      <c r="N279" s="262">
        <f t="shared" si="101"/>
        <v>0</v>
      </c>
      <c r="O279" s="262">
        <f t="shared" si="101"/>
        <v>0</v>
      </c>
      <c r="P279" s="540">
        <f>+MAX(0,IF(P266-P277-P278&lt;R279,P266-P277-P278,R279))</f>
        <v>0</v>
      </c>
      <c r="Q279" s="278"/>
      <c r="R279" s="541">
        <f>O325</f>
        <v>0</v>
      </c>
      <c r="T279" s="397">
        <f t="shared" si="99"/>
        <v>0</v>
      </c>
      <c r="U279" s="86" t="s">
        <v>303</v>
      </c>
      <c r="V279" s="86"/>
    </row>
    <row r="280" spans="1:22" ht="16.899999999999999" hidden="1" customHeight="1" x14ac:dyDescent="0.2">
      <c r="A280" s="332" t="s">
        <v>119</v>
      </c>
      <c r="B280" s="281"/>
      <c r="C280" s="281"/>
      <c r="D280" s="262">
        <f>D327</f>
        <v>0</v>
      </c>
      <c r="E280" s="262">
        <f t="shared" ref="E280:O280" si="102">E327</f>
        <v>0</v>
      </c>
      <c r="F280" s="262">
        <f t="shared" si="102"/>
        <v>0</v>
      </c>
      <c r="G280" s="262">
        <f t="shared" si="102"/>
        <v>0</v>
      </c>
      <c r="H280" s="262">
        <f t="shared" si="102"/>
        <v>0</v>
      </c>
      <c r="I280" s="262">
        <f t="shared" si="102"/>
        <v>0</v>
      </c>
      <c r="J280" s="262">
        <f t="shared" si="102"/>
        <v>0</v>
      </c>
      <c r="K280" s="262">
        <f t="shared" si="102"/>
        <v>0</v>
      </c>
      <c r="L280" s="262">
        <f t="shared" si="102"/>
        <v>0</v>
      </c>
      <c r="M280" s="262">
        <f t="shared" si="102"/>
        <v>0</v>
      </c>
      <c r="N280" s="262">
        <f t="shared" si="102"/>
        <v>0</v>
      </c>
      <c r="O280" s="262">
        <f t="shared" si="102"/>
        <v>0</v>
      </c>
      <c r="P280" s="540">
        <f>+MAX(0,IF(P266-P277-P278-P279&lt;R280,P266-P277-P278-P279,R280))</f>
        <v>0</v>
      </c>
      <c r="Q280" s="278"/>
      <c r="R280" s="541">
        <f>O327</f>
        <v>0</v>
      </c>
      <c r="T280" s="397">
        <f t="shared" si="99"/>
        <v>0</v>
      </c>
      <c r="U280" s="86" t="s">
        <v>303</v>
      </c>
      <c r="V280" s="86"/>
    </row>
    <row r="281" spans="1:22" ht="16.899999999999999" hidden="1" customHeight="1" x14ac:dyDescent="0.2">
      <c r="A281" s="332" t="s">
        <v>120</v>
      </c>
      <c r="B281" s="281"/>
      <c r="C281" s="281"/>
      <c r="D281" s="262">
        <f t="shared" ref="D281:O281" si="103">D329</f>
        <v>1236414</v>
      </c>
      <c r="E281" s="262">
        <f t="shared" si="103"/>
        <v>2472828</v>
      </c>
      <c r="F281" s="262">
        <f t="shared" si="103"/>
        <v>3709242</v>
      </c>
      <c r="G281" s="262">
        <f t="shared" si="103"/>
        <v>4945656</v>
      </c>
      <c r="H281" s="262">
        <f t="shared" si="103"/>
        <v>6182070</v>
      </c>
      <c r="I281" s="262">
        <f t="shared" si="103"/>
        <v>7418484</v>
      </c>
      <c r="J281" s="262">
        <f t="shared" si="103"/>
        <v>8654898</v>
      </c>
      <c r="K281" s="262">
        <f t="shared" si="103"/>
        <v>9891312</v>
      </c>
      <c r="L281" s="262">
        <f t="shared" si="103"/>
        <v>11127726</v>
      </c>
      <c r="M281" s="262">
        <f t="shared" si="103"/>
        <v>12364140</v>
      </c>
      <c r="N281" s="262">
        <f t="shared" si="103"/>
        <v>13600554</v>
      </c>
      <c r="O281" s="262">
        <f t="shared" si="103"/>
        <v>14836968</v>
      </c>
      <c r="P281" s="540">
        <f>+MAX(0,IF(P266-P277-P278-P279-P280&lt;R281,P266-P277-P278-P279-P280,R281))</f>
        <v>14836968</v>
      </c>
      <c r="Q281" s="278"/>
      <c r="R281" s="541">
        <f>O329</f>
        <v>14836968</v>
      </c>
      <c r="T281" s="397">
        <f t="shared" si="99"/>
        <v>14836968</v>
      </c>
      <c r="U281" s="86" t="s">
        <v>304</v>
      </c>
      <c r="V281" s="86"/>
    </row>
    <row r="282" spans="1:22" ht="16.899999999999999" hidden="1" customHeight="1" x14ac:dyDescent="0.2">
      <c r="A282" s="332" t="s">
        <v>441</v>
      </c>
      <c r="B282" s="281"/>
      <c r="C282" s="281"/>
      <c r="D282" s="262">
        <f>SUM(D277:D281)/12</f>
        <v>124500.02083333333</v>
      </c>
      <c r="E282" s="262">
        <f t="shared" ref="E282:O282" si="104">SUM(E277:E281)/12</f>
        <v>249000.04166666666</v>
      </c>
      <c r="F282" s="262">
        <f t="shared" si="104"/>
        <v>373500.0625</v>
      </c>
      <c r="G282" s="262">
        <f t="shared" si="104"/>
        <v>498000.08333333331</v>
      </c>
      <c r="H282" s="262">
        <f t="shared" si="104"/>
        <v>622500.10416666663</v>
      </c>
      <c r="I282" s="262">
        <f t="shared" si="104"/>
        <v>747000.125</v>
      </c>
      <c r="J282" s="262">
        <f t="shared" si="104"/>
        <v>871500.14583333337</v>
      </c>
      <c r="K282" s="262">
        <f t="shared" si="104"/>
        <v>996000.16666666663</v>
      </c>
      <c r="L282" s="262">
        <f t="shared" si="104"/>
        <v>1120500.1875</v>
      </c>
      <c r="M282" s="262">
        <f t="shared" si="104"/>
        <v>1245000.2083333333</v>
      </c>
      <c r="N282" s="262">
        <f t="shared" si="104"/>
        <v>1369500.2291666667</v>
      </c>
      <c r="O282" s="542">
        <f t="shared" si="104"/>
        <v>1494000.25</v>
      </c>
      <c r="P282" s="540">
        <f>+MAX(0,IF(P266-P277-P278-P279-P280-P281&lt;R282,P266-P277-P278-P279-P280-P281,R282))</f>
        <v>1494000.25</v>
      </c>
      <c r="Q282" s="278"/>
      <c r="R282" s="541">
        <f>SUM(R277:R281)/12</f>
        <v>1494000.25</v>
      </c>
      <c r="T282" s="397">
        <f>+P282</f>
        <v>1494000.25</v>
      </c>
      <c r="U282" s="86" t="s">
        <v>442</v>
      </c>
      <c r="V282" s="86"/>
    </row>
    <row r="283" spans="1:22" ht="16.899999999999999" hidden="1" customHeight="1" thickBot="1" x14ac:dyDescent="0.25">
      <c r="A283" s="543" t="str">
        <f>+Parametros!A18</f>
        <v>Ded Especial XX art 90 Ley 27.743</v>
      </c>
      <c r="B283" s="281"/>
      <c r="C283" s="281"/>
      <c r="D283" s="262"/>
      <c r="E283" s="262"/>
      <c r="F283" s="262"/>
      <c r="G283" s="262"/>
      <c r="H283" s="262"/>
      <c r="I283" s="262"/>
      <c r="J283" s="544">
        <f>IF(J2="SI",Parametros!B18,0)</f>
        <v>0</v>
      </c>
      <c r="K283" s="544">
        <f>IF(K2="NO",Parametros!B18,0)</f>
        <v>0</v>
      </c>
      <c r="L283" s="262"/>
      <c r="M283" s="262"/>
      <c r="N283" s="262"/>
      <c r="O283" s="542"/>
      <c r="P283" s="540">
        <f>+MAX(0,IF(P266-P277-P278-P279-P280-P281-P282&lt;R283,P266-P277-P278-P279-P280-P281-P282,R283))</f>
        <v>0</v>
      </c>
      <c r="Q283" s="278"/>
      <c r="R283" s="541">
        <f>SUM(D283:O283)</f>
        <v>0</v>
      </c>
      <c r="T283" s="397">
        <f>+P283</f>
        <v>0</v>
      </c>
      <c r="U283" s="86" t="str">
        <f>+A283</f>
        <v>Ded Especial XX art 90 Ley 27.743</v>
      </c>
      <c r="V283" s="86"/>
    </row>
    <row r="284" spans="1:22" ht="22.9" hidden="1" customHeight="1" thickBot="1" x14ac:dyDescent="0.25">
      <c r="A284" s="545" t="s">
        <v>31</v>
      </c>
      <c r="B284" s="546"/>
      <c r="C284" s="547"/>
      <c r="D284" s="548">
        <f>SUM(D277:D283)</f>
        <v>1618500.2708333333</v>
      </c>
      <c r="E284" s="548">
        <f>SUM(E277:E283)</f>
        <v>3237000.5416666665</v>
      </c>
      <c r="F284" s="548">
        <f t="shared" ref="F284:O284" si="105">SUM(F277:F283)</f>
        <v>4855500.8125</v>
      </c>
      <c r="G284" s="548">
        <f t="shared" si="105"/>
        <v>6474001.083333333</v>
      </c>
      <c r="H284" s="548">
        <f t="shared" si="105"/>
        <v>8092501.354166667</v>
      </c>
      <c r="I284" s="548">
        <f t="shared" si="105"/>
        <v>9711001.625</v>
      </c>
      <c r="J284" s="548">
        <f t="shared" si="105"/>
        <v>11329501.895833334</v>
      </c>
      <c r="K284" s="548">
        <f t="shared" si="105"/>
        <v>12948002.166666666</v>
      </c>
      <c r="L284" s="548">
        <f t="shared" si="105"/>
        <v>14566502.4375</v>
      </c>
      <c r="M284" s="548">
        <f t="shared" si="105"/>
        <v>16185002.708333334</v>
      </c>
      <c r="N284" s="548">
        <f t="shared" si="105"/>
        <v>17803502.979166668</v>
      </c>
      <c r="O284" s="548">
        <f t="shared" si="105"/>
        <v>19422003.25</v>
      </c>
      <c r="P284" s="549">
        <f>SUM(P277:P283)</f>
        <v>19422003.25</v>
      </c>
      <c r="Q284" s="328"/>
      <c r="T284" s="398">
        <f>+P284</f>
        <v>19422003.25</v>
      </c>
      <c r="U284" s="90" t="s">
        <v>305</v>
      </c>
      <c r="V284" s="86"/>
    </row>
    <row r="285" spans="1:22" ht="6" hidden="1" customHeight="1" x14ac:dyDescent="0.2">
      <c r="A285" s="311"/>
      <c r="B285" s="312"/>
      <c r="C285" s="312"/>
      <c r="D285" s="313"/>
      <c r="E285" s="313"/>
      <c r="F285" s="313"/>
      <c r="G285" s="313"/>
      <c r="H285" s="313"/>
      <c r="I285" s="313"/>
      <c r="J285" s="313"/>
      <c r="K285" s="313"/>
      <c r="L285" s="313"/>
      <c r="M285" s="313"/>
      <c r="N285" s="313"/>
      <c r="O285" s="313"/>
      <c r="P285" s="314"/>
      <c r="Q285" s="319"/>
      <c r="T285" s="360"/>
      <c r="U285" s="86"/>
      <c r="V285" s="86"/>
    </row>
    <row r="286" spans="1:22" ht="18" hidden="1" customHeight="1" thickBot="1" x14ac:dyDescent="0.25">
      <c r="A286" s="550" t="s">
        <v>32</v>
      </c>
      <c r="B286" s="551"/>
      <c r="C286" s="551"/>
      <c r="D286" s="552">
        <f t="shared" ref="D286:O286" si="106">+D264-D275</f>
        <v>359666.39583333349</v>
      </c>
      <c r="E286" s="552">
        <f t="shared" si="106"/>
        <v>359666.39583333349</v>
      </c>
      <c r="F286" s="552">
        <f t="shared" si="106"/>
        <v>359666.39583333349</v>
      </c>
      <c r="G286" s="552">
        <f t="shared" si="106"/>
        <v>359666.39583333349</v>
      </c>
      <c r="H286" s="552">
        <f t="shared" si="106"/>
        <v>359666.39583333349</v>
      </c>
      <c r="I286" s="552">
        <f t="shared" si="106"/>
        <v>359666.39583333349</v>
      </c>
      <c r="J286" s="552">
        <f t="shared" si="106"/>
        <v>359666.39583333349</v>
      </c>
      <c r="K286" s="552">
        <f t="shared" si="106"/>
        <v>359666.39583333349</v>
      </c>
      <c r="L286" s="552">
        <f t="shared" si="106"/>
        <v>359666.39583333349</v>
      </c>
      <c r="M286" s="552">
        <f t="shared" si="106"/>
        <v>359666.39583333349</v>
      </c>
      <c r="N286" s="552">
        <f t="shared" si="106"/>
        <v>359666.39583333349</v>
      </c>
      <c r="O286" s="552">
        <f t="shared" si="106"/>
        <v>359666.39583333349</v>
      </c>
      <c r="P286" s="318"/>
      <c r="Q286" s="319"/>
      <c r="T286" s="397"/>
      <c r="U286" s="86"/>
      <c r="V286" s="86"/>
    </row>
    <row r="287" spans="1:22" ht="23.45" hidden="1" customHeight="1" thickBot="1" x14ac:dyDescent="0.25">
      <c r="A287" s="553" t="s">
        <v>33</v>
      </c>
      <c r="B287" s="554"/>
      <c r="C287" s="555"/>
      <c r="D287" s="556">
        <f t="shared" ref="D287:O287" si="107">IF((D266-D284)&lt;0,0,(D266-D284))</f>
        <v>359666.39583333349</v>
      </c>
      <c r="E287" s="556">
        <f t="shared" si="107"/>
        <v>719332.79166666698</v>
      </c>
      <c r="F287" s="556">
        <f t="shared" si="107"/>
        <v>1078999.1875</v>
      </c>
      <c r="G287" s="556">
        <f t="shared" si="107"/>
        <v>1438665.583333334</v>
      </c>
      <c r="H287" s="556">
        <f t="shared" si="107"/>
        <v>1798331.979166667</v>
      </c>
      <c r="I287" s="556">
        <f t="shared" si="107"/>
        <v>2157998.375</v>
      </c>
      <c r="J287" s="556">
        <f t="shared" si="107"/>
        <v>2517664.7708333321</v>
      </c>
      <c r="K287" s="556">
        <f t="shared" si="107"/>
        <v>2877331.166666666</v>
      </c>
      <c r="L287" s="556">
        <f t="shared" si="107"/>
        <v>3236997.5625</v>
      </c>
      <c r="M287" s="556">
        <f t="shared" si="107"/>
        <v>3596663.958333334</v>
      </c>
      <c r="N287" s="556">
        <f t="shared" si="107"/>
        <v>3956330.3541666679</v>
      </c>
      <c r="O287" s="556">
        <f t="shared" si="107"/>
        <v>4315996.7500000037</v>
      </c>
      <c r="P287" s="557">
        <f>+IF(P266-P284&lt;0,0,P266-P284)</f>
        <v>4315996.75</v>
      </c>
      <c r="Q287" s="344"/>
      <c r="R287" s="415">
        <f>P287-O287</f>
        <v>0</v>
      </c>
      <c r="S287" s="558" t="s">
        <v>34</v>
      </c>
      <c r="T287" s="397">
        <f>+P287</f>
        <v>4315996.75</v>
      </c>
      <c r="U287" s="90" t="s">
        <v>306</v>
      </c>
      <c r="V287" s="86"/>
    </row>
    <row r="288" spans="1:22" s="568" customFormat="1" ht="16.899999999999999" hidden="1" customHeight="1" thickBot="1" x14ac:dyDescent="0.25">
      <c r="A288" s="559" t="s">
        <v>103</v>
      </c>
      <c r="B288" s="560"/>
      <c r="C288" s="561"/>
      <c r="D288" s="562">
        <f>+(D128-D128*Tablas!D44)+(D161-D161*$C$93/100)</f>
        <v>0</v>
      </c>
      <c r="E288" s="562">
        <f>+(E128-E128*Tablas!E44)+(E161-E161*$C$93/100)</f>
        <v>0</v>
      </c>
      <c r="F288" s="562">
        <f>+(F128-F128*Tablas!F44)+(F161-F161*$C$93/100)</f>
        <v>0</v>
      </c>
      <c r="G288" s="562">
        <f>+(G128-G128*Tablas!G44)+(G161-G161*$C$93/100)</f>
        <v>0</v>
      </c>
      <c r="H288" s="562">
        <f>+(H128-H128*Tablas!H44)+(H161-H161*$C$93/100)</f>
        <v>0</v>
      </c>
      <c r="I288" s="562">
        <f>+(I128-I128*Tablas!I44)+(I161-I161*$C$93/100)</f>
        <v>0</v>
      </c>
      <c r="J288" s="562">
        <f>+(J128-J128*Tablas!J44)+(J161-J161*$C$93/100)</f>
        <v>0</v>
      </c>
      <c r="K288" s="562">
        <f>+(K128-K128*Tablas!K44)+(K161-K161*$C$93/100)</f>
        <v>0</v>
      </c>
      <c r="L288" s="562">
        <f>+(L128-L128*Tablas!L44)+(L161-L161*$C$93/100)</f>
        <v>0</v>
      </c>
      <c r="M288" s="562">
        <f>+(M128-M128*Tablas!M44)+(M161-M161*$C$93/100)</f>
        <v>0</v>
      </c>
      <c r="N288" s="562">
        <f>+(N128-N128*Tablas!N44)+(N161-N161*$C$93/100)</f>
        <v>0</v>
      </c>
      <c r="O288" s="562">
        <f>+(O128-O128*Tablas!O44)+(O161-O161*$C$93/100)</f>
        <v>0</v>
      </c>
      <c r="P288" s="563"/>
      <c r="Q288" s="564"/>
      <c r="R288" s="565"/>
      <c r="S288" s="566"/>
      <c r="T288" s="567"/>
      <c r="U288" s="131"/>
      <c r="V288" s="131"/>
    </row>
    <row r="289" spans="1:22" s="568" customFormat="1" ht="18" hidden="1" customHeight="1" thickBot="1" x14ac:dyDescent="0.25">
      <c r="A289" s="559" t="s">
        <v>102</v>
      </c>
      <c r="B289" s="560"/>
      <c r="C289" s="561"/>
      <c r="D289" s="562">
        <f>+D288</f>
        <v>0</v>
      </c>
      <c r="E289" s="562">
        <f t="shared" ref="E289:L289" si="108">+E288+D289</f>
        <v>0</v>
      </c>
      <c r="F289" s="562">
        <f t="shared" si="108"/>
        <v>0</v>
      </c>
      <c r="G289" s="562">
        <f t="shared" si="108"/>
        <v>0</v>
      </c>
      <c r="H289" s="562">
        <f t="shared" si="108"/>
        <v>0</v>
      </c>
      <c r="I289" s="562">
        <f t="shared" si="108"/>
        <v>0</v>
      </c>
      <c r="J289" s="562">
        <f t="shared" si="108"/>
        <v>0</v>
      </c>
      <c r="K289" s="562">
        <f t="shared" si="108"/>
        <v>0</v>
      </c>
      <c r="L289" s="562">
        <f t="shared" si="108"/>
        <v>0</v>
      </c>
      <c r="M289" s="562">
        <f t="shared" ref="M289" si="109">+M288+L289</f>
        <v>0</v>
      </c>
      <c r="N289" s="562">
        <f t="shared" ref="N289" si="110">+N288+M289</f>
        <v>0</v>
      </c>
      <c r="O289" s="562">
        <f t="shared" ref="O289" si="111">+O288+N289</f>
        <v>0</v>
      </c>
      <c r="P289" s="569">
        <f>SUM(D288:O288)</f>
        <v>0</v>
      </c>
      <c r="Q289" s="570"/>
      <c r="R289" s="565"/>
      <c r="S289" s="566"/>
      <c r="T289" s="567"/>
      <c r="U289" s="131"/>
      <c r="V289" s="131"/>
    </row>
    <row r="290" spans="1:22" s="568" customFormat="1" ht="18" hidden="1" customHeight="1" thickBot="1" x14ac:dyDescent="0.25">
      <c r="A290" s="559" t="s">
        <v>105</v>
      </c>
      <c r="B290" s="560"/>
      <c r="C290" s="561"/>
      <c r="D290" s="571">
        <f>IF((D287-D289)&lt;0,0,(D287-D289))</f>
        <v>359666.39583333349</v>
      </c>
      <c r="E290" s="571">
        <f t="shared" ref="E290:L290" si="112">IF((E287-E289)&lt;0,0,(E287-E289))</f>
        <v>719332.79166666698</v>
      </c>
      <c r="F290" s="571">
        <f t="shared" si="112"/>
        <v>1078999.1875</v>
      </c>
      <c r="G290" s="571">
        <f t="shared" si="112"/>
        <v>1438665.583333334</v>
      </c>
      <c r="H290" s="571">
        <f t="shared" si="112"/>
        <v>1798331.979166667</v>
      </c>
      <c r="I290" s="571">
        <f t="shared" si="112"/>
        <v>2157998.375</v>
      </c>
      <c r="J290" s="571">
        <f t="shared" si="112"/>
        <v>2517664.7708333321</v>
      </c>
      <c r="K290" s="571">
        <f t="shared" si="112"/>
        <v>2877331.166666666</v>
      </c>
      <c r="L290" s="571">
        <f t="shared" si="112"/>
        <v>3236997.5625</v>
      </c>
      <c r="M290" s="571">
        <f>IF((M287-M289)&lt;0,0,(M287-M289))</f>
        <v>3596663.958333334</v>
      </c>
      <c r="N290" s="571">
        <f>IF((N287-N289)&lt;0,0,(N287-N289))</f>
        <v>3956330.3541666679</v>
      </c>
      <c r="O290" s="571">
        <f>IF((O287-O289)&lt;0,0,(O287-O289))</f>
        <v>4315996.7500000037</v>
      </c>
      <c r="P290" s="569">
        <f>+IF(P287-P289&lt;0,0,P287-P289)</f>
        <v>4315996.75</v>
      </c>
      <c r="Q290" s="570"/>
      <c r="R290" s="565"/>
      <c r="S290" s="566"/>
      <c r="T290" s="572">
        <f>+VLOOKUP(P$287,Tablas!N$18:$P$26,3,TRUE)</f>
        <v>0.15</v>
      </c>
      <c r="U290" s="131" t="s">
        <v>308</v>
      </c>
      <c r="V290" s="131"/>
    </row>
    <row r="291" spans="1:22" ht="18" hidden="1" customHeight="1" thickBot="1" x14ac:dyDescent="0.25">
      <c r="A291" s="573" t="s">
        <v>104</v>
      </c>
      <c r="B291" s="574"/>
      <c r="C291" s="575"/>
      <c r="D291" s="576">
        <f>IF(D287=0,0%,VLOOKUP(D$290,Tablas!C$18:$P$26,14,TRUE))</f>
        <v>0.15</v>
      </c>
      <c r="E291" s="576">
        <f>IF(E287=0,0%,VLOOKUP(E$290,Tablas!D$18:$P$26,13,TRUE))</f>
        <v>0.15</v>
      </c>
      <c r="F291" s="576">
        <f>IF(F287=0,0%,VLOOKUP(F$290,Tablas!E$18:$P$26,12,TRUE))</f>
        <v>0.15</v>
      </c>
      <c r="G291" s="576">
        <f>IF(G287=0,0%,VLOOKUP(G$290,Tablas!F$18:$P$26,11,TRUE))</f>
        <v>0.15</v>
      </c>
      <c r="H291" s="576">
        <f>IF(H287=0,0%,VLOOKUP(H$290,Tablas!G$18:$P$26,10,TRUE))</f>
        <v>0.15</v>
      </c>
      <c r="I291" s="576">
        <f>IF(I287=0,0%,VLOOKUP(I$290,Tablas!H$18:$P$26,9,TRUE))</f>
        <v>0.15</v>
      </c>
      <c r="J291" s="576">
        <f>IF(J287=0,0%,VLOOKUP(J$290,Tablas!I$18:$P$26,8,TRUE))</f>
        <v>0.15</v>
      </c>
      <c r="K291" s="576">
        <f>IF(K287=0,0%,VLOOKUP(K$290,Tablas!J$18:$P$26,7,TRUE))</f>
        <v>0.15</v>
      </c>
      <c r="L291" s="576">
        <f>IF(L287=0,0%,VLOOKUP(L$290,Tablas!K$18:$P$26,6,TRUE))</f>
        <v>0.15</v>
      </c>
      <c r="M291" s="576">
        <f>IF(M287=0,0%,VLOOKUP(M$290,Tablas!L$18:$P$26,5,TRUE))</f>
        <v>0.15</v>
      </c>
      <c r="N291" s="576">
        <f>IF(N287=0,0%,VLOOKUP(N$290,Tablas!M$18:$P$26,4,TRUE))</f>
        <v>0.15</v>
      </c>
      <c r="O291" s="576">
        <f>IF(O287=0,0%,VLOOKUP(O$290,Tablas!N$18:$P$26,3,TRUE))</f>
        <v>0.15</v>
      </c>
      <c r="P291" s="577">
        <f>IF(P287=0,0%,VLOOKUP(P$290,Tablas!N$18:$P$26,3,TRUE))</f>
        <v>0.15</v>
      </c>
      <c r="Q291" s="578"/>
      <c r="R291" s="415"/>
      <c r="S291" s="558"/>
      <c r="T291" s="579">
        <f>+P291</f>
        <v>0.15</v>
      </c>
      <c r="U291" s="86" t="s">
        <v>308</v>
      </c>
      <c r="V291" s="86"/>
    </row>
    <row r="292" spans="1:22" ht="27" hidden="1" customHeight="1" thickBot="1" x14ac:dyDescent="0.25">
      <c r="A292" s="580" t="s">
        <v>35</v>
      </c>
      <c r="B292" s="581"/>
      <c r="C292" s="526"/>
      <c r="D292" s="582">
        <f>VLOOKUP(D290,Tablas!C$18:$P$26,13-MONTH(D4)+1)*MONTH(D4)/12+(D287-VLOOKUP(D290,Tablas!C$18:$P$26,1))*VLOOKUP(D290,Tablas!C$18:$P$26,14-MONTH(D4)+1)</f>
        <v>34949.95937500002</v>
      </c>
      <c r="E292" s="582">
        <f>VLOOKUP(E290,Tablas!D$18:$P$26,13-MONTH(E4)+1)*MONTH(E4)/12+(E287-VLOOKUP(E290,Tablas!D$18:$P$26,1))*VLOOKUP(E290,Tablas!D$18:$P$26,14-MONTH(E4)+1)</f>
        <v>69899.918750000041</v>
      </c>
      <c r="F292" s="582">
        <f>VLOOKUP(F290,Tablas!E$18:$P$26,13-MONTH(F4)+1)*MONTH(F4)/12+(F287-VLOOKUP(F290,Tablas!E$18:$P$26,1))*VLOOKUP(F290,Tablas!E$18:$P$26,14-MONTH(F4)+1)</f>
        <v>104849.878125</v>
      </c>
      <c r="G292" s="582">
        <f>VLOOKUP(G290,Tablas!F$18:$P$26,13-MONTH(G4)+1)*MONTH(G4)/12+(G287-VLOOKUP(G290,Tablas!F$18:$P$26,1))*VLOOKUP(G290,Tablas!F$18:$P$26,14-MONTH(G4)+1)</f>
        <v>139799.83750000008</v>
      </c>
      <c r="H292" s="582">
        <f>VLOOKUP(H290,Tablas!G$18:$P$26,13-MONTH(H4)+1)*MONTH(H4)/12+(H287-VLOOKUP(H290,Tablas!G$18:$P$26,1))*VLOOKUP(H290,Tablas!G$18:$P$26,14-MONTH(H4)+1)</f>
        <v>174749.79687500006</v>
      </c>
      <c r="I292" s="582">
        <f>VLOOKUP(I290,Tablas!H$18:$P$26,13-MONTH(I4)+1)*MONTH(I4)/12+(I287-VLOOKUP(I290,Tablas!H$18:$P$26,1))*VLOOKUP(I290,Tablas!H$18:$P$26,14-MONTH(I4)+1)</f>
        <v>209699.75625000001</v>
      </c>
      <c r="J292" s="582">
        <f>VLOOKUP(J290,Tablas!I$18:$P$26,13-MONTH(J4)+1)*MONTH(J4)/12+(J287-VLOOKUP(J290,Tablas!I$18:$P$26,1))*VLOOKUP(J290,Tablas!I$18:$P$26,14-MONTH(J4)+1)</f>
        <v>244649.71562499981</v>
      </c>
      <c r="K292" s="582">
        <f>VLOOKUP(K290,Tablas!J$18:$P$26,13-MONTH(K4)+1)*MONTH(K4)/12+(K287-VLOOKUP(K290,Tablas!J$18:$P$26,1))*VLOOKUP(K290,Tablas!J$18:$P$26,14-MONTH(K4)+1)</f>
        <v>279599.67499999993</v>
      </c>
      <c r="L292" s="582">
        <f>VLOOKUP(L290,Tablas!K$18:$P$26,13-MONTH(L4)+1)*MONTH(L4)/12+(L287-VLOOKUP(L290,Tablas!K$18:$P$26,1))*VLOOKUP(L290,Tablas!K$18:$P$26,14-MONTH(L4)+1)</f>
        <v>314549.63437500002</v>
      </c>
      <c r="M292" s="582">
        <f>VLOOKUP(M290,Tablas!L$18:$P$26,13-MONTH(M4)+1)*MONTH(M4)/12+(M287-VLOOKUP(M290,Tablas!L$18:$P$26,1))*VLOOKUP(M290,Tablas!L$18:$P$26,14-MONTH(M4)+1)</f>
        <v>349499.59375000012</v>
      </c>
      <c r="N292" s="582">
        <f>VLOOKUP(N290,Tablas!M$18:$P$26,13-MONTH(N4)+1)*MONTH(N4)/12+(N287-VLOOKUP(N290,Tablas!M$18:$P$26,1))*VLOOKUP(N290,Tablas!M$18:$P$26,14-MONTH(N4)+1)</f>
        <v>384449.55312500021</v>
      </c>
      <c r="O292" s="582">
        <f>VLOOKUP(O290,Tablas!N$18:$P$26,13-MONTH(O4)+1)*MONTH(O4)/12+(O287-VLOOKUP(O290,Tablas!N$18:$P$26,1))*VLOOKUP(O290,Tablas!N$18:$P$26,14-MONTH(O4)+1)</f>
        <v>419399.51250000054</v>
      </c>
      <c r="P292" s="583">
        <f>+VLOOKUP(P290,Tablas!$N$17:$P$26,2,1)+(P287-VLOOKUP(P290,Tablas!$N$18:$P$26,1,1))*VLOOKUP(P290,Tablas!$N$18:$P$26,3,1)</f>
        <v>419399.51250000001</v>
      </c>
      <c r="Q292" s="584"/>
      <c r="R292" s="122"/>
      <c r="T292" s="585">
        <f>+P292</f>
        <v>419399.51250000001</v>
      </c>
      <c r="U292" s="90" t="s">
        <v>309</v>
      </c>
      <c r="V292" s="86"/>
    </row>
    <row r="293" spans="1:22" ht="4.9000000000000004" hidden="1" customHeight="1" x14ac:dyDescent="0.2">
      <c r="A293" s="586"/>
      <c r="B293" s="587"/>
      <c r="C293" s="75"/>
      <c r="D293" s="588"/>
      <c r="E293" s="588"/>
      <c r="F293" s="588"/>
      <c r="G293" s="588"/>
      <c r="H293" s="588"/>
      <c r="I293" s="588"/>
      <c r="J293" s="588"/>
      <c r="K293" s="588"/>
      <c r="L293" s="588"/>
      <c r="M293" s="588"/>
      <c r="N293" s="588"/>
      <c r="O293" s="588"/>
      <c r="P293" s="589"/>
      <c r="Q293" s="590"/>
      <c r="R293" s="122"/>
      <c r="T293" s="360"/>
      <c r="U293" s="86"/>
      <c r="V293" s="86"/>
    </row>
    <row r="294" spans="1:22" ht="19.899999999999999" hidden="1" customHeight="1" x14ac:dyDescent="0.2">
      <c r="A294" s="591" t="s">
        <v>381</v>
      </c>
      <c r="B294" s="327"/>
      <c r="C294" s="260"/>
      <c r="D294" s="261"/>
      <c r="E294" s="261"/>
      <c r="F294" s="261"/>
      <c r="G294" s="261"/>
      <c r="H294" s="261"/>
      <c r="I294" s="261"/>
      <c r="J294" s="261"/>
      <c r="K294" s="261"/>
      <c r="L294" s="261"/>
      <c r="M294" s="261"/>
      <c r="N294" s="261"/>
      <c r="O294" s="261"/>
      <c r="P294" s="592">
        <f>S306</f>
        <v>0</v>
      </c>
      <c r="Q294" s="116" t="s">
        <v>406</v>
      </c>
      <c r="R294" s="593"/>
      <c r="T294" s="360"/>
      <c r="U294" s="86"/>
      <c r="V294" s="86"/>
    </row>
    <row r="295" spans="1:22" ht="17.45" hidden="1" customHeight="1" thickBot="1" x14ac:dyDescent="0.25">
      <c r="A295" s="594" t="s">
        <v>36</v>
      </c>
      <c r="B295" s="595"/>
      <c r="C295" s="596"/>
      <c r="D295" s="597">
        <f>IF(D292-D294&lt;0,0,D292-D294)</f>
        <v>34949.95937500002</v>
      </c>
      <c r="E295" s="597">
        <f>IF(E292-D292-E294&lt;0,0,E292-D292-E294)</f>
        <v>34949.95937500002</v>
      </c>
      <c r="F295" s="597">
        <f>IF(F292-E292-F294&lt;0,0,F292-E292-F294)</f>
        <v>34949.959374999962</v>
      </c>
      <c r="G295" s="597">
        <f>IF(G292-F292-G294&lt;0,0,G292-F292-G294)</f>
        <v>34949.959375000079</v>
      </c>
      <c r="H295" s="597">
        <f t="shared" ref="H295:K295" si="113">IF(H292-G292-H294&lt;0,0,H292-G292-H294)</f>
        <v>34949.959374999977</v>
      </c>
      <c r="I295" s="597">
        <f t="shared" si="113"/>
        <v>34949.959374999948</v>
      </c>
      <c r="J295" s="597">
        <f t="shared" si="113"/>
        <v>34949.959374999802</v>
      </c>
      <c r="K295" s="597">
        <f t="shared" si="113"/>
        <v>34949.959375000122</v>
      </c>
      <c r="L295" s="597">
        <f>IF(L292-K292-L294&lt;0,0,L292-K292-L294)</f>
        <v>34949.959375000093</v>
      </c>
      <c r="M295" s="597">
        <f>IF(M292-L292-M294&lt;0,0,M292-L292-M294)</f>
        <v>34949.959375000093</v>
      </c>
      <c r="N295" s="597">
        <f>IF(N292-M292-N294&lt;0,0,N292-M292-N294)</f>
        <v>34949.959375000093</v>
      </c>
      <c r="O295" s="597">
        <f>IF(O292-N292-O294&lt;0,0,O292-N292-O294)</f>
        <v>34949.959375000326</v>
      </c>
      <c r="P295" s="597">
        <f>IF(P292-O292-P294&lt;0,0,P292-O292-P294)</f>
        <v>0</v>
      </c>
      <c r="Q295" s="344"/>
      <c r="R295" s="598"/>
      <c r="T295" s="397">
        <f>+S301</f>
        <v>0</v>
      </c>
      <c r="U295" s="86" t="s">
        <v>310</v>
      </c>
      <c r="V295" s="86"/>
    </row>
    <row r="296" spans="1:22" ht="5.25" hidden="1" customHeight="1" x14ac:dyDescent="0.2">
      <c r="A296" s="599"/>
      <c r="B296" s="600"/>
      <c r="C296" s="601"/>
      <c r="D296" s="602"/>
      <c r="E296" s="602"/>
      <c r="F296" s="602"/>
      <c r="G296" s="602"/>
      <c r="H296" s="602"/>
      <c r="I296" s="602"/>
      <c r="J296" s="602"/>
      <c r="K296" s="602"/>
      <c r="L296" s="602"/>
      <c r="M296" s="602"/>
      <c r="N296" s="602"/>
      <c r="O296" s="603"/>
      <c r="P296" s="604"/>
      <c r="Q296" s="319"/>
      <c r="T296" s="360"/>
      <c r="U296" s="86"/>
      <c r="V296" s="86"/>
    </row>
    <row r="297" spans="1:22" ht="16.149999999999999" hidden="1" customHeight="1" thickBot="1" x14ac:dyDescent="0.25">
      <c r="A297" s="605" t="s">
        <v>37</v>
      </c>
      <c r="B297" s="606"/>
      <c r="C297" s="607"/>
      <c r="D297" s="608">
        <f>IF(D292-D294&gt;=0,0,D292-D294)</f>
        <v>0</v>
      </c>
      <c r="E297" s="608">
        <f>IF(E292-D292-E294&gt;=0,0,E292-D292-E294)</f>
        <v>0</v>
      </c>
      <c r="F297" s="608">
        <f t="shared" ref="F297:K297" si="114">IF(F292-E292-F294&gt;=0,0,F292-E292-F294)</f>
        <v>0</v>
      </c>
      <c r="G297" s="608">
        <f t="shared" si="114"/>
        <v>0</v>
      </c>
      <c r="H297" s="608">
        <f t="shared" si="114"/>
        <v>0</v>
      </c>
      <c r="I297" s="608">
        <f t="shared" si="114"/>
        <v>0</v>
      </c>
      <c r="J297" s="608">
        <f t="shared" si="114"/>
        <v>0</v>
      </c>
      <c r="K297" s="608">
        <f t="shared" si="114"/>
        <v>0</v>
      </c>
      <c r="L297" s="608">
        <f>IF(L292-K292-L294&gt;=0,0,L292-K292-L294)</f>
        <v>0</v>
      </c>
      <c r="M297" s="608">
        <f>IF(M292-L292-M294&gt;=0,0,M292-L292-M294)</f>
        <v>0</v>
      </c>
      <c r="N297" s="608">
        <f>IF(N292-M292-N294&gt;=0,0,N292-M292-N294)</f>
        <v>0</v>
      </c>
      <c r="O297" s="608">
        <f>IF(O292-N292-O294&gt;=0,0,O292-N292-O294)</f>
        <v>0</v>
      </c>
      <c r="P297" s="608">
        <f>IF(P292-O292-P294&gt;=0,0,P292-O292-P294)</f>
        <v>-5.2386894822120667E-10</v>
      </c>
      <c r="Q297" s="344"/>
      <c r="T297" s="398">
        <f>+Parametros!B20</f>
        <v>0</v>
      </c>
      <c r="U297" s="86" t="s">
        <v>409</v>
      </c>
      <c r="V297" s="86"/>
    </row>
    <row r="298" spans="1:22" ht="13.9" hidden="1" customHeight="1" thickBot="1" x14ac:dyDescent="0.25">
      <c r="A298" s="76"/>
      <c r="D298" s="609"/>
      <c r="P298" s="610"/>
      <c r="Q298" s="611"/>
      <c r="T298" s="360"/>
      <c r="U298" s="86"/>
      <c r="V298" s="86"/>
    </row>
    <row r="299" spans="1:22" ht="21" hidden="1" customHeight="1" thickBot="1" x14ac:dyDescent="0.25">
      <c r="A299" s="612" t="s">
        <v>38</v>
      </c>
      <c r="B299" s="613"/>
      <c r="C299" s="614"/>
      <c r="D299" s="615">
        <f>SUM($D295:D297)</f>
        <v>34949.95937500002</v>
      </c>
      <c r="E299" s="615">
        <f>SUM($D295:E297)</f>
        <v>69899.918750000041</v>
      </c>
      <c r="F299" s="615">
        <f>SUM($D295:F297)</f>
        <v>104849.878125</v>
      </c>
      <c r="G299" s="615">
        <f>SUM($D295:G297)</f>
        <v>139799.83750000008</v>
      </c>
      <c r="H299" s="615">
        <f>SUM($D295:H297)</f>
        <v>174749.79687500006</v>
      </c>
      <c r="I299" s="615">
        <f>SUM($D295:I297)</f>
        <v>209699.75625000001</v>
      </c>
      <c r="J299" s="615">
        <f>SUM($D295:J297)</f>
        <v>244649.71562499981</v>
      </c>
      <c r="K299" s="615">
        <f>SUM($D295:K297)</f>
        <v>279599.67499999993</v>
      </c>
      <c r="L299" s="615">
        <f>SUM($D295:L297)</f>
        <v>314549.63437500002</v>
      </c>
      <c r="M299" s="615">
        <f>SUM($D295:M297)</f>
        <v>349499.59375000012</v>
      </c>
      <c r="N299" s="615">
        <f>SUM($D295:N297)</f>
        <v>384449.55312500021</v>
      </c>
      <c r="O299" s="615">
        <f>SUM($D295:O297)</f>
        <v>419399.51250000054</v>
      </c>
      <c r="P299" s="616">
        <f>SUM($D295:P297)</f>
        <v>419399.51250000001</v>
      </c>
      <c r="Q299" s="617"/>
      <c r="R299" s="289"/>
      <c r="S299" s="117"/>
      <c r="T299" s="585">
        <f>+T292-T295-T297</f>
        <v>419399.51250000001</v>
      </c>
      <c r="U299" s="90" t="s">
        <v>312</v>
      </c>
      <c r="V299" s="86"/>
    </row>
    <row r="300" spans="1:22" ht="19.149999999999999" hidden="1" customHeight="1" thickBot="1" x14ac:dyDescent="0.25">
      <c r="A300" s="76"/>
      <c r="D300" s="255"/>
      <c r="J300" s="618"/>
      <c r="P300" s="619"/>
      <c r="R300" s="620" t="str">
        <f>+Parametros!A20</f>
        <v>Pagos a Cuenta p/ liq anual:</v>
      </c>
      <c r="S300" s="119">
        <f>+Parametros!B20</f>
        <v>0</v>
      </c>
      <c r="T300" s="360"/>
      <c r="U300" s="86"/>
      <c r="V300" s="86"/>
    </row>
    <row r="301" spans="1:22" ht="29.45" hidden="1" customHeight="1" thickBot="1" x14ac:dyDescent="0.25">
      <c r="A301" s="621" t="s">
        <v>92</v>
      </c>
      <c r="B301" s="622"/>
      <c r="C301" s="623"/>
      <c r="D301" s="624"/>
      <c r="E301" s="624"/>
      <c r="F301" s="624"/>
      <c r="G301" s="624"/>
      <c r="H301" s="624"/>
      <c r="I301" s="624"/>
      <c r="J301" s="624"/>
      <c r="K301" s="624"/>
      <c r="L301" s="624"/>
      <c r="M301" s="624"/>
      <c r="N301" s="624"/>
      <c r="O301" s="624"/>
      <c r="P301" s="625"/>
      <c r="Q301" s="626"/>
      <c r="R301" s="118" t="s">
        <v>405</v>
      </c>
      <c r="S301" s="627">
        <f>MAX(0,SUM(D301:O301))</f>
        <v>0</v>
      </c>
      <c r="T301" s="628" t="s">
        <v>57</v>
      </c>
      <c r="U301" s="86"/>
      <c r="V301" s="86"/>
    </row>
    <row r="302" spans="1:22" ht="9" hidden="1" customHeight="1" x14ac:dyDescent="0.2">
      <c r="A302" s="76"/>
      <c r="D302" s="255"/>
      <c r="E302" s="255"/>
      <c r="F302" s="618"/>
      <c r="G302" s="255"/>
      <c r="P302" s="619"/>
      <c r="U302" s="86"/>
      <c r="V302" s="86"/>
    </row>
    <row r="303" spans="1:22" ht="15.6" hidden="1" customHeight="1" x14ac:dyDescent="0.2">
      <c r="A303" s="486" t="s">
        <v>74</v>
      </c>
      <c r="B303" s="63"/>
      <c r="D303" s="629">
        <f>ROUND(D292-D294-$D301,2)</f>
        <v>34949.96</v>
      </c>
      <c r="E303" s="629">
        <f>ROUND(E292-E294-SUM($D$301:E301),2)</f>
        <v>69899.92</v>
      </c>
      <c r="F303" s="629">
        <f>ROUND(F292-F294-SUM($D$301:F301),2)</f>
        <v>104849.88</v>
      </c>
      <c r="G303" s="629">
        <f>ROUND(G292-G294-SUM($D$301:G301),2)</f>
        <v>139799.84</v>
      </c>
      <c r="H303" s="629">
        <f>ROUND(H292-H294-SUM($D$301:H301),2)</f>
        <v>174749.8</v>
      </c>
      <c r="I303" s="629">
        <f>ROUND(I292-I294-SUM($D$301:I301),2)</f>
        <v>209699.76</v>
      </c>
      <c r="J303" s="629">
        <f>ROUND(J292-J294-SUM($D$301:J301),2)</f>
        <v>244649.72</v>
      </c>
      <c r="K303" s="629">
        <f>ROUND(K292-K294-SUM($D$301:K301),2)</f>
        <v>279599.68</v>
      </c>
      <c r="L303" s="629">
        <f>ROUND(L292-L294-SUM($D$301:L301),2)</f>
        <v>314549.63</v>
      </c>
      <c r="M303" s="629">
        <f>ROUND(M292-M294-SUM($D$301:M301),2)</f>
        <v>349499.59</v>
      </c>
      <c r="N303" s="629">
        <f>ROUND(N292-N294-SUM($D$301:N301),2)</f>
        <v>384449.55</v>
      </c>
      <c r="O303" s="629">
        <f>ROUND(O292-O294-SUM($D$301:O301),2)</f>
        <v>419399.51</v>
      </c>
      <c r="P303" s="630">
        <f>ROUND((P292-P294)-SUM($D$301:P301),2)</f>
        <v>419399.51</v>
      </c>
      <c r="Q303" s="629"/>
      <c r="R303" s="286"/>
      <c r="S303" s="631"/>
    </row>
    <row r="304" spans="1:22" ht="21.6" hidden="1" customHeight="1" thickBot="1" x14ac:dyDescent="0.25">
      <c r="A304" s="76"/>
      <c r="D304" s="12" t="str">
        <f>IF(D303=0,"",IF(D303&gt;0,"A favor de AFIP","A favor del contribuyente"))</f>
        <v>A favor de AFIP</v>
      </c>
      <c r="E304" s="13" t="str">
        <f t="shared" ref="E304:P304" si="115">IF(E303=0,"",IF(E303&gt;0,"A favor de AFIP","A favor del contribuyente"))</f>
        <v>A favor de AFIP</v>
      </c>
      <c r="F304" s="12" t="str">
        <f t="shared" si="115"/>
        <v>A favor de AFIP</v>
      </c>
      <c r="G304" s="13" t="str">
        <f t="shared" si="115"/>
        <v>A favor de AFIP</v>
      </c>
      <c r="H304" s="12" t="str">
        <f t="shared" si="115"/>
        <v>A favor de AFIP</v>
      </c>
      <c r="I304" s="14" t="str">
        <f t="shared" si="115"/>
        <v>A favor de AFIP</v>
      </c>
      <c r="J304" s="13" t="str">
        <f t="shared" si="115"/>
        <v>A favor de AFIP</v>
      </c>
      <c r="K304" s="12" t="str">
        <f t="shared" si="115"/>
        <v>A favor de AFIP</v>
      </c>
      <c r="L304" s="13" t="str">
        <f t="shared" si="115"/>
        <v>A favor de AFIP</v>
      </c>
      <c r="M304" s="12" t="str">
        <f t="shared" si="115"/>
        <v>A favor de AFIP</v>
      </c>
      <c r="N304" s="12" t="str">
        <f t="shared" si="115"/>
        <v>A favor de AFIP</v>
      </c>
      <c r="O304" s="12" t="str">
        <f t="shared" si="115"/>
        <v>A favor de AFIP</v>
      </c>
      <c r="P304" s="18" t="str">
        <f t="shared" si="115"/>
        <v>A favor de AFIP</v>
      </c>
      <c r="Q304" s="12"/>
      <c r="R304" s="286"/>
      <c r="S304" s="631"/>
    </row>
    <row r="305" spans="1:22" ht="15.6" hidden="1" customHeight="1" x14ac:dyDescent="0.2">
      <c r="A305" s="632" t="s">
        <v>58</v>
      </c>
      <c r="B305" s="633"/>
      <c r="C305" s="633"/>
      <c r="D305" s="634">
        <f t="shared" ref="D305:O305" si="116">+MIN((D38+D103+D104)*35%,D38-D91+D110)</f>
        <v>770000</v>
      </c>
      <c r="E305" s="634">
        <f t="shared" si="116"/>
        <v>770000</v>
      </c>
      <c r="F305" s="634">
        <f t="shared" si="116"/>
        <v>770000</v>
      </c>
      <c r="G305" s="634">
        <f t="shared" si="116"/>
        <v>770000</v>
      </c>
      <c r="H305" s="634">
        <f t="shared" si="116"/>
        <v>770000</v>
      </c>
      <c r="I305" s="634">
        <f t="shared" si="116"/>
        <v>1155000</v>
      </c>
      <c r="J305" s="634">
        <f t="shared" si="116"/>
        <v>770000</v>
      </c>
      <c r="K305" s="634">
        <f t="shared" si="116"/>
        <v>770000</v>
      </c>
      <c r="L305" s="634">
        <f t="shared" si="116"/>
        <v>770000</v>
      </c>
      <c r="M305" s="634">
        <f t="shared" si="116"/>
        <v>770000</v>
      </c>
      <c r="N305" s="634">
        <f t="shared" si="116"/>
        <v>770000</v>
      </c>
      <c r="O305" s="634">
        <f t="shared" si="116"/>
        <v>1155000</v>
      </c>
      <c r="P305" s="635">
        <f>IF(Q307="NO",99999999999999900*35%,0*35%)</f>
        <v>3.4999999999999964E+16</v>
      </c>
      <c r="Q305" s="636"/>
      <c r="R305" s="84" t="str">
        <f>+Parametros!A20</f>
        <v>Pagos a Cuenta p/ liq anual:</v>
      </c>
      <c r="S305" s="15">
        <f>+S300</f>
        <v>0</v>
      </c>
    </row>
    <row r="306" spans="1:22" ht="12.75" hidden="1" customHeight="1" thickBot="1" x14ac:dyDescent="0.25">
      <c r="A306" s="637"/>
      <c r="B306" s="638"/>
      <c r="C306" s="638"/>
      <c r="D306" s="639"/>
      <c r="E306" s="639"/>
      <c r="F306" s="639"/>
      <c r="G306" s="639"/>
      <c r="H306" s="639"/>
      <c r="I306" s="639"/>
      <c r="J306" s="639"/>
      <c r="K306" s="639"/>
      <c r="L306" s="640"/>
      <c r="M306" s="639"/>
      <c r="N306" s="639"/>
      <c r="O306" s="639"/>
      <c r="P306" s="641"/>
      <c r="Q306" s="637"/>
      <c r="R306" s="120" t="s">
        <v>84</v>
      </c>
      <c r="S306" s="121">
        <f>+MIN(S300,S301)</f>
        <v>0</v>
      </c>
    </row>
    <row r="307" spans="1:22" ht="23.45" hidden="1" customHeight="1" x14ac:dyDescent="0.2">
      <c r="I307" s="642"/>
      <c r="M307" s="255"/>
      <c r="N307" s="255"/>
      <c r="P307" s="643" t="s">
        <v>237</v>
      </c>
      <c r="Q307" s="644" t="s">
        <v>18</v>
      </c>
      <c r="R307" s="645"/>
      <c r="S307" s="443"/>
    </row>
    <row r="308" spans="1:22" ht="12.75" hidden="1" customHeight="1" thickBot="1" x14ac:dyDescent="0.25">
      <c r="D308" s="289"/>
      <c r="E308" s="289"/>
      <c r="F308" s="646"/>
      <c r="G308" s="117"/>
      <c r="H308" s="117"/>
      <c r="I308" s="646"/>
      <c r="J308" s="647">
        <f t="shared" ref="J308" si="117">+IF(J$303&lt;0,J$303,0)</f>
        <v>0</v>
      </c>
      <c r="K308" s="117"/>
      <c r="L308" s="648">
        <f>+IF(L$303&lt;0,L$303,0)</f>
        <v>0</v>
      </c>
      <c r="M308" s="111"/>
    </row>
    <row r="309" spans="1:22" ht="12.75" hidden="1" customHeight="1" x14ac:dyDescent="0.2">
      <c r="F309" s="649"/>
      <c r="G309" s="649"/>
      <c r="H309" s="649"/>
      <c r="I309" s="649"/>
      <c r="J309" s="649" t="str">
        <f>+IF(J$303&lt;0,"Devol x actualiz Julio","")</f>
        <v/>
      </c>
      <c r="K309" s="649"/>
      <c r="L309" s="650" t="str">
        <f>+IF(L$303&lt;0,"Devol x actualiz excep Sept","")</f>
        <v/>
      </c>
      <c r="M309" s="649"/>
      <c r="O309" s="651"/>
      <c r="P309" s="652"/>
      <c r="Q309" s="652"/>
      <c r="R309" s="652"/>
      <c r="S309" s="653"/>
    </row>
    <row r="310" spans="1:22" ht="12.75" hidden="1" customHeight="1" x14ac:dyDescent="0.2">
      <c r="H310" s="122"/>
      <c r="J310" s="111"/>
      <c r="O310" s="77" t="s">
        <v>78</v>
      </c>
      <c r="P310" s="78" t="s">
        <v>76</v>
      </c>
      <c r="Q310" s="78"/>
      <c r="R310" s="3">
        <f>+ROUND(P292,2)</f>
        <v>419399.51</v>
      </c>
      <c r="S310" s="4"/>
    </row>
    <row r="311" spans="1:22" ht="12.75" hidden="1" customHeight="1" thickBot="1" x14ac:dyDescent="0.25">
      <c r="H311" s="122"/>
      <c r="J311" s="111"/>
      <c r="O311" s="77" t="s">
        <v>79</v>
      </c>
      <c r="P311" s="79" t="s">
        <v>77</v>
      </c>
      <c r="Q311" s="79"/>
      <c r="R311" s="5">
        <f>+ROUND(SUM(D301:O301),2)</f>
        <v>0</v>
      </c>
      <c r="S311" s="4"/>
    </row>
    <row r="312" spans="1:22" ht="12.75" hidden="1" customHeight="1" thickBot="1" x14ac:dyDescent="0.25">
      <c r="H312" s="122"/>
      <c r="J312" s="111"/>
      <c r="L312" s="819" t="s">
        <v>414</v>
      </c>
      <c r="M312" s="654"/>
      <c r="O312" s="77" t="s">
        <v>79</v>
      </c>
      <c r="P312" s="79" t="s">
        <v>80</v>
      </c>
      <c r="Q312" s="79"/>
      <c r="R312" s="5">
        <f>+ROUND(S305,2)</f>
        <v>0</v>
      </c>
      <c r="S312" s="4"/>
    </row>
    <row r="313" spans="1:22" ht="16.899999999999999" hidden="1" customHeight="1" thickBot="1" x14ac:dyDescent="0.25">
      <c r="L313" s="820"/>
      <c r="M313" s="655">
        <f>+SUM(D308:O308)</f>
        <v>0</v>
      </c>
      <c r="O313" s="80" t="s">
        <v>78</v>
      </c>
      <c r="P313" s="2" t="str">
        <f>+IF(R313&lt;0,"F1357 a favor contrib","F1357 a favor AFIP")</f>
        <v>F1357 a favor AFIP</v>
      </c>
      <c r="Q313" s="2"/>
      <c r="R313" s="6">
        <f>+ROUND(R310-R311-R312,2)</f>
        <v>419399.51</v>
      </c>
      <c r="S313" s="7"/>
    </row>
    <row r="314" spans="1:22" ht="12.75" hidden="1" customHeight="1" x14ac:dyDescent="0.2">
      <c r="J314" s="286"/>
      <c r="K314" s="117"/>
      <c r="O314" s="77" t="s">
        <v>79</v>
      </c>
      <c r="P314" s="79" t="s">
        <v>83</v>
      </c>
      <c r="Q314" s="79"/>
      <c r="R314" s="5">
        <f>+IF(R313&lt;0,0,ROUND(P301,2))</f>
        <v>0</v>
      </c>
      <c r="S314" s="4"/>
    </row>
    <row r="315" spans="1:22" ht="12.75" hidden="1" customHeight="1" thickBot="1" x14ac:dyDescent="0.25">
      <c r="O315" s="81" t="s">
        <v>82</v>
      </c>
      <c r="P315" s="82" t="s">
        <v>81</v>
      </c>
      <c r="Q315" s="82"/>
      <c r="R315" s="8">
        <f>+IF(R313&lt;0,MIN(R313*-1,S301),0)</f>
        <v>0</v>
      </c>
      <c r="S315" s="9"/>
    </row>
    <row r="316" spans="1:22" ht="17.45" hidden="1" customHeight="1" thickTop="1" thickBot="1" x14ac:dyDescent="0.25">
      <c r="A316" s="97"/>
      <c r="B316" s="98"/>
      <c r="C316" s="98"/>
      <c r="D316" s="97"/>
      <c r="E316" s="97"/>
      <c r="F316" s="97"/>
      <c r="G316" s="97"/>
      <c r="H316" s="97"/>
      <c r="I316" s="97"/>
      <c r="J316" s="97"/>
      <c r="K316" s="97"/>
      <c r="L316" s="97"/>
      <c r="M316" s="97"/>
      <c r="N316" s="97"/>
      <c r="O316" s="83" t="s">
        <v>78</v>
      </c>
      <c r="P316" s="19" t="str">
        <f>+IF(R316&lt;0,"Saldo a favor contrib.","Saldo a pagar")</f>
        <v>Saldo a pagar</v>
      </c>
      <c r="Q316" s="19"/>
      <c r="R316" s="20">
        <f>+ROUND(R313-R314+R315,2)</f>
        <v>419399.51</v>
      </c>
      <c r="S316" s="10" t="str">
        <f>+IF(R316&lt;0,"Inscribirse en IG para exteriorizar SLD, con los vtos grales.",IF(R316&gt;0,"Inscribirse en IG e ingresar la diferencia con los vtos grales.",""))</f>
        <v>Inscribirse en IG e ingresar la diferencia con los vtos grales.</v>
      </c>
    </row>
    <row r="317" spans="1:22" ht="12.75" hidden="1" customHeight="1" thickTop="1" x14ac:dyDescent="0.2">
      <c r="A317" s="97"/>
      <c r="B317" s="98"/>
      <c r="C317" s="98"/>
      <c r="D317" s="97"/>
      <c r="E317" s="97"/>
      <c r="F317" s="97"/>
      <c r="G317" s="97"/>
      <c r="H317" s="97"/>
      <c r="I317" s="97"/>
      <c r="J317" s="97"/>
      <c r="K317" s="97"/>
      <c r="L317" s="97"/>
      <c r="M317" s="97"/>
      <c r="N317" s="97"/>
      <c r="O317" s="656"/>
      <c r="P317" s="657"/>
      <c r="Q317" s="657"/>
      <c r="R317" s="657"/>
      <c r="S317" s="4"/>
    </row>
    <row r="318" spans="1:22" ht="12.75" hidden="1" customHeight="1" thickBot="1" x14ac:dyDescent="0.25">
      <c r="A318" s="97"/>
      <c r="B318" s="98"/>
      <c r="C318" s="98"/>
      <c r="D318" s="97"/>
      <c r="E318" s="97"/>
      <c r="F318" s="97"/>
      <c r="G318" s="97"/>
      <c r="H318" s="97"/>
      <c r="I318" s="97"/>
      <c r="J318" s="97"/>
      <c r="K318" s="97"/>
      <c r="L318" s="97"/>
      <c r="M318" s="97"/>
      <c r="N318" s="97"/>
      <c r="O318" s="658"/>
      <c r="P318" s="659"/>
      <c r="Q318" s="659"/>
      <c r="R318" s="659"/>
      <c r="S318" s="660"/>
      <c r="T318" s="97"/>
      <c r="U318" s="92"/>
    </row>
    <row r="319" spans="1:22" s="97" customFormat="1" ht="12.75" hidden="1" customHeight="1" x14ac:dyDescent="0.2">
      <c r="B319" s="98"/>
      <c r="C319" s="98"/>
      <c r="U319" s="92"/>
      <c r="V319" s="92"/>
    </row>
    <row r="320" spans="1:22" s="97" customFormat="1" ht="12.75" hidden="1" customHeight="1" x14ac:dyDescent="0.2">
      <c r="A320" s="97" t="s">
        <v>131</v>
      </c>
      <c r="B320" s="98"/>
      <c r="C320" s="98"/>
      <c r="D320" s="99">
        <f>+Tablas!$G$3/12</f>
        <v>257586.25</v>
      </c>
      <c r="E320" s="99">
        <f>+Tablas!$G$3/12</f>
        <v>257586.25</v>
      </c>
      <c r="F320" s="99">
        <f>+Tablas!$G$3/12</f>
        <v>257586.25</v>
      </c>
      <c r="G320" s="99">
        <f>+Tablas!$G$3/12</f>
        <v>257586.25</v>
      </c>
      <c r="H320" s="99">
        <f>+Tablas!$G$3/12</f>
        <v>257586.25</v>
      </c>
      <c r="I320" s="99">
        <f>+Tablas!$G$3/12</f>
        <v>257586.25</v>
      </c>
      <c r="J320" s="99">
        <f>+Tablas!$G$3/12</f>
        <v>257586.25</v>
      </c>
      <c r="K320" s="99">
        <f>+Tablas!$G$3/12</f>
        <v>257586.25</v>
      </c>
      <c r="L320" s="99">
        <f>+Tablas!$G$3/12</f>
        <v>257586.25</v>
      </c>
      <c r="M320" s="99">
        <f>+Tablas!$G$3/12</f>
        <v>257586.25</v>
      </c>
      <c r="N320" s="99">
        <f>+Tablas!$G$3/12</f>
        <v>257586.25</v>
      </c>
      <c r="O320" s="99">
        <f>+Tablas!$G$3/12</f>
        <v>257586.25</v>
      </c>
      <c r="P320" s="99">
        <f>SUM(D320:O320)</f>
        <v>3091035</v>
      </c>
      <c r="Q320" s="99"/>
      <c r="U320" s="92"/>
      <c r="V320" s="92"/>
    </row>
    <row r="321" spans="1:22" s="97" customFormat="1" ht="12.75" hidden="1" customHeight="1" x14ac:dyDescent="0.2">
      <c r="A321" s="100" t="s">
        <v>132</v>
      </c>
      <c r="B321" s="101"/>
      <c r="C321" s="98"/>
      <c r="D321" s="102">
        <f>+D320</f>
        <v>257586.25</v>
      </c>
      <c r="E321" s="102">
        <f>+E320+D321</f>
        <v>515172.5</v>
      </c>
      <c r="F321" s="102">
        <f t="shared" ref="F321:O321" si="118">+F320+E321</f>
        <v>772758.75</v>
      </c>
      <c r="G321" s="102">
        <f t="shared" si="118"/>
        <v>1030345</v>
      </c>
      <c r="H321" s="102">
        <f t="shared" si="118"/>
        <v>1287931.25</v>
      </c>
      <c r="I321" s="102">
        <f t="shared" si="118"/>
        <v>1545517.5</v>
      </c>
      <c r="J321" s="102">
        <f t="shared" si="118"/>
        <v>1803103.75</v>
      </c>
      <c r="K321" s="102">
        <f t="shared" si="118"/>
        <v>2060690</v>
      </c>
      <c r="L321" s="102">
        <f t="shared" si="118"/>
        <v>2318276.25</v>
      </c>
      <c r="M321" s="102">
        <f t="shared" si="118"/>
        <v>2575862.5</v>
      </c>
      <c r="N321" s="102">
        <f t="shared" si="118"/>
        <v>2833448.75</v>
      </c>
      <c r="O321" s="102">
        <f t="shared" si="118"/>
        <v>3091035</v>
      </c>
      <c r="P321" s="99"/>
      <c r="Q321" s="99"/>
      <c r="U321" s="92"/>
      <c r="V321" s="92"/>
    </row>
    <row r="322" spans="1:22" s="97" customFormat="1" ht="12.75" hidden="1" customHeight="1" x14ac:dyDescent="0.2">
      <c r="A322" s="97" t="s">
        <v>125</v>
      </c>
      <c r="B322" s="98"/>
      <c r="C322" s="98"/>
      <c r="D322" s="99">
        <f>+IF(Deducciones!D26="SI",Tablas!$G$4/12,0)</f>
        <v>0</v>
      </c>
      <c r="E322" s="99">
        <f>+IF(Deducciones!E26="SI",Tablas!$G$4/12,0)</f>
        <v>0</v>
      </c>
      <c r="F322" s="99">
        <f>+IF(Deducciones!F26="SI",Tablas!$G$4/12,0)</f>
        <v>0</v>
      </c>
      <c r="G322" s="99">
        <f>+IF(Deducciones!G26="SI",Tablas!$G$4/12,0)</f>
        <v>0</v>
      </c>
      <c r="H322" s="99">
        <f>+IF(Deducciones!H26="SI",Tablas!$G$4/12,0)</f>
        <v>0</v>
      </c>
      <c r="I322" s="99">
        <f>+IF(Deducciones!I26="SI",Tablas!$G$4/12,0)</f>
        <v>0</v>
      </c>
      <c r="J322" s="99">
        <f>+IF(Deducciones!J26="SI",Tablas!$G$4/12,0)</f>
        <v>0</v>
      </c>
      <c r="K322" s="99">
        <f>+IF(Deducciones!K26="SI",Tablas!$G$4/12,0)</f>
        <v>0</v>
      </c>
      <c r="L322" s="99">
        <f>+IF(Deducciones!L26="SI",Tablas!$G$4/12,0)</f>
        <v>0</v>
      </c>
      <c r="M322" s="99">
        <f>+IF(Deducciones!M26="SI",Tablas!$G$4/12,0)</f>
        <v>0</v>
      </c>
      <c r="N322" s="99">
        <f>+IF(Deducciones!N26="SI",Tablas!$G$4/12,0)</f>
        <v>0</v>
      </c>
      <c r="O322" s="99">
        <f>+IF(Deducciones!O26="SI",Tablas!$G$4/12,0)</f>
        <v>0</v>
      </c>
      <c r="P322" s="99">
        <f>SUM(D322:O322)</f>
        <v>0</v>
      </c>
      <c r="Q322" s="99"/>
      <c r="U322" s="92"/>
      <c r="V322" s="92"/>
    </row>
    <row r="323" spans="1:22" s="97" customFormat="1" ht="12.75" hidden="1" customHeight="1" x14ac:dyDescent="0.2">
      <c r="A323" s="100" t="s">
        <v>128</v>
      </c>
      <c r="B323" s="101"/>
      <c r="C323" s="98"/>
      <c r="D323" s="102">
        <f>+D322</f>
        <v>0</v>
      </c>
      <c r="E323" s="102">
        <f>+E322+D323</f>
        <v>0</v>
      </c>
      <c r="F323" s="102">
        <f t="shared" ref="F323:O323" si="119">+F322+E323</f>
        <v>0</v>
      </c>
      <c r="G323" s="102">
        <f t="shared" si="119"/>
        <v>0</v>
      </c>
      <c r="H323" s="102">
        <f t="shared" si="119"/>
        <v>0</v>
      </c>
      <c r="I323" s="102">
        <f t="shared" si="119"/>
        <v>0</v>
      </c>
      <c r="J323" s="102">
        <f t="shared" si="119"/>
        <v>0</v>
      </c>
      <c r="K323" s="102">
        <f t="shared" si="119"/>
        <v>0</v>
      </c>
      <c r="L323" s="102">
        <f t="shared" si="119"/>
        <v>0</v>
      </c>
      <c r="M323" s="102">
        <f t="shared" si="119"/>
        <v>0</v>
      </c>
      <c r="N323" s="102">
        <f t="shared" si="119"/>
        <v>0</v>
      </c>
      <c r="O323" s="102">
        <f t="shared" si="119"/>
        <v>0</v>
      </c>
      <c r="P323" s="99"/>
      <c r="Q323" s="99"/>
      <c r="U323" s="92"/>
      <c r="V323" s="92"/>
    </row>
    <row r="324" spans="1:22" s="97" customFormat="1" ht="12.75" hidden="1" customHeight="1" x14ac:dyDescent="0.2">
      <c r="A324" s="97" t="s">
        <v>126</v>
      </c>
      <c r="B324" s="98"/>
      <c r="C324" s="98"/>
      <c r="D324" s="99">
        <f>+Tablas!$G$5/12*(Deducciones!D27+Deducciones!D28*0.5)</f>
        <v>0</v>
      </c>
      <c r="E324" s="99">
        <f>+Tablas!$G$5/12*(Deducciones!E27+Deducciones!E28*0.5)</f>
        <v>0</v>
      </c>
      <c r="F324" s="99">
        <f>+Tablas!$G$5/12*(Deducciones!F27+Deducciones!F28*0.5)</f>
        <v>0</v>
      </c>
      <c r="G324" s="99">
        <f>+Tablas!$G$5/12*(Deducciones!G27+Deducciones!G28*0.5)</f>
        <v>0</v>
      </c>
      <c r="H324" s="99">
        <f>+Tablas!$G$5/12*(Deducciones!H27+Deducciones!H28*0.5)</f>
        <v>0</v>
      </c>
      <c r="I324" s="99">
        <f>+Tablas!$G$5/12*(Deducciones!I27+Deducciones!I28*0.5)</f>
        <v>0</v>
      </c>
      <c r="J324" s="99">
        <f>+Tablas!$G$5/12*(Deducciones!J27+Deducciones!J28*0.5)</f>
        <v>0</v>
      </c>
      <c r="K324" s="99">
        <f>+Tablas!$G$5/12*(Deducciones!K27+Deducciones!K28*0.5)</f>
        <v>0</v>
      </c>
      <c r="L324" s="99">
        <f>+Tablas!$G$5/12*(Deducciones!L27+Deducciones!L28*0.5)</f>
        <v>0</v>
      </c>
      <c r="M324" s="99">
        <f>+Tablas!$G$5/12*(Deducciones!M27+Deducciones!M28*0.5)</f>
        <v>0</v>
      </c>
      <c r="N324" s="99">
        <f>+Tablas!$G$5/12*(Deducciones!N27+Deducciones!N28*0.5)</f>
        <v>0</v>
      </c>
      <c r="O324" s="99">
        <f>+Tablas!$G$5/12*(Deducciones!O27+Deducciones!O28*0.5)</f>
        <v>0</v>
      </c>
      <c r="P324" s="99">
        <f>SUM(D324:O324)</f>
        <v>0</v>
      </c>
      <c r="Q324" s="99"/>
      <c r="U324" s="92"/>
      <c r="V324" s="92"/>
    </row>
    <row r="325" spans="1:22" s="97" customFormat="1" ht="12.75" hidden="1" customHeight="1" x14ac:dyDescent="0.2">
      <c r="A325" s="100" t="s">
        <v>129</v>
      </c>
      <c r="B325" s="101"/>
      <c r="C325" s="98"/>
      <c r="D325" s="102">
        <f>+D324</f>
        <v>0</v>
      </c>
      <c r="E325" s="102">
        <f>+E324+D325</f>
        <v>0</v>
      </c>
      <c r="F325" s="102">
        <f t="shared" ref="F325:O325" si="120">+F324+E325</f>
        <v>0</v>
      </c>
      <c r="G325" s="102">
        <f t="shared" si="120"/>
        <v>0</v>
      </c>
      <c r="H325" s="102">
        <f t="shared" si="120"/>
        <v>0</v>
      </c>
      <c r="I325" s="102">
        <f t="shared" si="120"/>
        <v>0</v>
      </c>
      <c r="J325" s="102">
        <f t="shared" si="120"/>
        <v>0</v>
      </c>
      <c r="K325" s="102">
        <f t="shared" si="120"/>
        <v>0</v>
      </c>
      <c r="L325" s="102">
        <f t="shared" si="120"/>
        <v>0</v>
      </c>
      <c r="M325" s="102">
        <f t="shared" si="120"/>
        <v>0</v>
      </c>
      <c r="N325" s="102">
        <f t="shared" si="120"/>
        <v>0</v>
      </c>
      <c r="O325" s="102">
        <f t="shared" si="120"/>
        <v>0</v>
      </c>
      <c r="P325" s="99"/>
      <c r="Q325" s="99"/>
      <c r="U325" s="92"/>
      <c r="V325" s="92"/>
    </row>
    <row r="326" spans="1:22" s="97" customFormat="1" ht="12.75" hidden="1" customHeight="1" x14ac:dyDescent="0.2">
      <c r="A326" s="97" t="s">
        <v>127</v>
      </c>
      <c r="B326" s="98"/>
      <c r="C326" s="98"/>
      <c r="D326" s="99">
        <f>+Tablas!$G$6/12*(Deducciones!D29+Deducciones!D30*0.5)</f>
        <v>0</v>
      </c>
      <c r="E326" s="99">
        <f>+Tablas!$G$6/12*(Deducciones!E29+Deducciones!E30*0.5)</f>
        <v>0</v>
      </c>
      <c r="F326" s="99">
        <f>+Tablas!$G$6/12*(Deducciones!F29+Deducciones!F30*0.5)</f>
        <v>0</v>
      </c>
      <c r="G326" s="99">
        <f>+Tablas!$G$6/12*(Deducciones!G29+Deducciones!G30*0.5)</f>
        <v>0</v>
      </c>
      <c r="H326" s="99">
        <f>+Tablas!$G$6/12*(Deducciones!H29+Deducciones!H30*0.5)</f>
        <v>0</v>
      </c>
      <c r="I326" s="99">
        <f>+Tablas!$G$6/12*(Deducciones!I29+Deducciones!I30*0.5)</f>
        <v>0</v>
      </c>
      <c r="J326" s="99">
        <f>+Tablas!$G$6/12*(Deducciones!J29+Deducciones!J30*0.5)</f>
        <v>0</v>
      </c>
      <c r="K326" s="99">
        <f>+Tablas!$G$6/12*(Deducciones!K29+Deducciones!K30*0.5)</f>
        <v>0</v>
      </c>
      <c r="L326" s="99">
        <f>+Tablas!$G$6/12*(Deducciones!L29+Deducciones!L30*0.5)</f>
        <v>0</v>
      </c>
      <c r="M326" s="99">
        <f>+Tablas!$G$6/12*(Deducciones!M29+Deducciones!M30*0.5)</f>
        <v>0</v>
      </c>
      <c r="N326" s="99">
        <f>+Tablas!$G$6/12*(Deducciones!N29+Deducciones!N30*0.5)</f>
        <v>0</v>
      </c>
      <c r="O326" s="99">
        <f>+Tablas!$G$6/12*(Deducciones!O29+Deducciones!O30*0.5)</f>
        <v>0</v>
      </c>
      <c r="P326" s="99">
        <f>SUM(D326:O326)</f>
        <v>0</v>
      </c>
      <c r="Q326" s="99"/>
      <c r="U326" s="92"/>
      <c r="V326" s="92"/>
    </row>
    <row r="327" spans="1:22" s="97" customFormat="1" ht="12.75" hidden="1" customHeight="1" x14ac:dyDescent="0.2">
      <c r="A327" s="100" t="s">
        <v>130</v>
      </c>
      <c r="B327" s="101"/>
      <c r="C327" s="98"/>
      <c r="D327" s="102">
        <f>+D326</f>
        <v>0</v>
      </c>
      <c r="E327" s="102">
        <f>+E326+D327</f>
        <v>0</v>
      </c>
      <c r="F327" s="102">
        <f t="shared" ref="F327:O327" si="121">+F326+E327</f>
        <v>0</v>
      </c>
      <c r="G327" s="102">
        <f t="shared" si="121"/>
        <v>0</v>
      </c>
      <c r="H327" s="102">
        <f t="shared" si="121"/>
        <v>0</v>
      </c>
      <c r="I327" s="102">
        <f t="shared" si="121"/>
        <v>0</v>
      </c>
      <c r="J327" s="102">
        <f t="shared" si="121"/>
        <v>0</v>
      </c>
      <c r="K327" s="102">
        <f t="shared" si="121"/>
        <v>0</v>
      </c>
      <c r="L327" s="102">
        <f t="shared" si="121"/>
        <v>0</v>
      </c>
      <c r="M327" s="102">
        <f t="shared" si="121"/>
        <v>0</v>
      </c>
      <c r="N327" s="102">
        <f t="shared" si="121"/>
        <v>0</v>
      </c>
      <c r="O327" s="102">
        <f t="shared" si="121"/>
        <v>0</v>
      </c>
      <c r="P327" s="99"/>
      <c r="Q327" s="99"/>
      <c r="U327" s="92"/>
      <c r="V327" s="92"/>
    </row>
    <row r="328" spans="1:22" s="97" customFormat="1" ht="12.75" hidden="1" customHeight="1" x14ac:dyDescent="0.2">
      <c r="A328" s="97" t="s">
        <v>133</v>
      </c>
      <c r="B328" s="98"/>
      <c r="C328" s="98"/>
      <c r="D328" s="99">
        <f>+Tablas!$G$7/12</f>
        <v>1236414</v>
      </c>
      <c r="E328" s="99">
        <f>+Tablas!$G$7/12</f>
        <v>1236414</v>
      </c>
      <c r="F328" s="99">
        <f>+Tablas!$G$7/12</f>
        <v>1236414</v>
      </c>
      <c r="G328" s="99">
        <f>+Tablas!$G$7/12</f>
        <v>1236414</v>
      </c>
      <c r="H328" s="99">
        <f>+Tablas!$G$7/12</f>
        <v>1236414</v>
      </c>
      <c r="I328" s="99">
        <f>+Tablas!$G$7/12</f>
        <v>1236414</v>
      </c>
      <c r="J328" s="99">
        <f>+Tablas!$G$7/12</f>
        <v>1236414</v>
      </c>
      <c r="K328" s="99">
        <f>+Tablas!$G$7/12</f>
        <v>1236414</v>
      </c>
      <c r="L328" s="99">
        <f>+Tablas!$G$7/12</f>
        <v>1236414</v>
      </c>
      <c r="M328" s="99">
        <f>+Tablas!$G$7/12</f>
        <v>1236414</v>
      </c>
      <c r="N328" s="99">
        <f>+Tablas!$G$7/12</f>
        <v>1236414</v>
      </c>
      <c r="O328" s="99">
        <f>+Tablas!$G$7/12</f>
        <v>1236414</v>
      </c>
      <c r="P328" s="99">
        <f>SUM(D328:O328)</f>
        <v>14836968</v>
      </c>
      <c r="Q328" s="99"/>
      <c r="U328" s="92"/>
      <c r="V328" s="92"/>
    </row>
    <row r="329" spans="1:22" s="97" customFormat="1" ht="12.75" hidden="1" customHeight="1" x14ac:dyDescent="0.2">
      <c r="A329" s="100" t="s">
        <v>134</v>
      </c>
      <c r="B329" s="101"/>
      <c r="C329" s="98"/>
      <c r="D329" s="102">
        <f>+D328</f>
        <v>1236414</v>
      </c>
      <c r="E329" s="102">
        <f>+E328+D329</f>
        <v>2472828</v>
      </c>
      <c r="F329" s="102">
        <f t="shared" ref="F329:O329" si="122">+F328+E329</f>
        <v>3709242</v>
      </c>
      <c r="G329" s="102">
        <f t="shared" si="122"/>
        <v>4945656</v>
      </c>
      <c r="H329" s="102">
        <f t="shared" si="122"/>
        <v>6182070</v>
      </c>
      <c r="I329" s="102">
        <f t="shared" si="122"/>
        <v>7418484</v>
      </c>
      <c r="J329" s="102">
        <f t="shared" si="122"/>
        <v>8654898</v>
      </c>
      <c r="K329" s="102">
        <f t="shared" si="122"/>
        <v>9891312</v>
      </c>
      <c r="L329" s="102">
        <f t="shared" si="122"/>
        <v>11127726</v>
      </c>
      <c r="M329" s="102">
        <f t="shared" si="122"/>
        <v>12364140</v>
      </c>
      <c r="N329" s="102">
        <f t="shared" si="122"/>
        <v>13600554</v>
      </c>
      <c r="O329" s="102">
        <f t="shared" si="122"/>
        <v>14836968</v>
      </c>
      <c r="P329" s="99"/>
      <c r="Q329" s="99"/>
      <c r="U329" s="92"/>
      <c r="V329" s="92"/>
    </row>
    <row r="330" spans="1:22" s="97" customFormat="1" ht="12.75" hidden="1" customHeight="1" x14ac:dyDescent="0.2">
      <c r="B330" s="98"/>
      <c r="C330" s="98"/>
      <c r="D330" s="99"/>
      <c r="E330" s="99"/>
      <c r="F330" s="99"/>
      <c r="G330" s="99"/>
      <c r="H330" s="99"/>
      <c r="I330" s="99"/>
      <c r="J330" s="99"/>
      <c r="K330" s="99"/>
      <c r="L330" s="99"/>
      <c r="M330" s="99"/>
      <c r="N330" s="99"/>
      <c r="O330" s="99"/>
      <c r="P330" s="99"/>
      <c r="Q330" s="99"/>
      <c r="U330" s="92"/>
      <c r="V330" s="92"/>
    </row>
    <row r="331" spans="1:22" s="97" customFormat="1" ht="12.75" hidden="1" customHeight="1" x14ac:dyDescent="0.2">
      <c r="B331" s="98"/>
      <c r="C331" s="98"/>
      <c r="D331" s="99"/>
      <c r="E331" s="99"/>
      <c r="F331" s="99"/>
      <c r="G331" s="99"/>
      <c r="H331" s="99"/>
      <c r="I331" s="99"/>
      <c r="J331" s="99"/>
      <c r="K331" s="99"/>
      <c r="L331" s="99"/>
      <c r="M331" s="99"/>
      <c r="N331" s="99"/>
      <c r="O331" s="99"/>
      <c r="P331" s="99"/>
      <c r="Q331" s="99"/>
      <c r="U331" s="92"/>
      <c r="V331" s="92"/>
    </row>
    <row r="332" spans="1:22" s="97" customFormat="1" ht="12.75" hidden="1" customHeight="1" x14ac:dyDescent="0.2">
      <c r="B332" s="98"/>
      <c r="C332" s="98"/>
      <c r="D332" s="99"/>
      <c r="E332" s="99"/>
      <c r="F332" s="99"/>
      <c r="G332" s="99"/>
      <c r="H332" s="99"/>
      <c r="I332" s="99"/>
      <c r="J332" s="99"/>
      <c r="K332" s="99"/>
      <c r="L332" s="99"/>
      <c r="M332" s="99"/>
      <c r="N332" s="99"/>
      <c r="O332" s="99"/>
      <c r="P332" s="99"/>
      <c r="Q332" s="99"/>
      <c r="U332" s="92"/>
      <c r="V332" s="92"/>
    </row>
    <row r="333" spans="1:22" s="97" customFormat="1" ht="12.75" hidden="1" customHeight="1" x14ac:dyDescent="0.2">
      <c r="A333" s="97" t="s">
        <v>179</v>
      </c>
      <c r="B333" s="98"/>
      <c r="C333" s="98"/>
      <c r="D333" s="99">
        <f>+D9/12</f>
        <v>0</v>
      </c>
      <c r="E333" s="99">
        <f>+E9/11+D333</f>
        <v>0</v>
      </c>
      <c r="F333" s="99">
        <f>+F9/10+E333</f>
        <v>0</v>
      </c>
      <c r="G333" s="99">
        <f>+G9/9+F333</f>
        <v>0</v>
      </c>
      <c r="H333" s="99">
        <f>+H9/8+G333</f>
        <v>0</v>
      </c>
      <c r="I333" s="99">
        <f>+I9/7+H333</f>
        <v>0</v>
      </c>
      <c r="J333" s="99">
        <f>+J9/6+I333</f>
        <v>0</v>
      </c>
      <c r="K333" s="99">
        <f>+K9/5+J333</f>
        <v>0</v>
      </c>
      <c r="L333" s="99">
        <f>+L9/4+K333</f>
        <v>0</v>
      </c>
      <c r="M333" s="99">
        <f>+M9/3+L333</f>
        <v>0</v>
      </c>
      <c r="N333" s="99">
        <f>+N9/2+M333</f>
        <v>0</v>
      </c>
      <c r="O333" s="99">
        <f>+O9/1+N333</f>
        <v>0</v>
      </c>
      <c r="P333" s="99">
        <f>SUM(D333:O333)</f>
        <v>0</v>
      </c>
      <c r="Q333" s="99"/>
      <c r="U333" s="92"/>
      <c r="V333" s="92"/>
    </row>
    <row r="334" spans="1:22" s="97" customFormat="1" ht="12.75" hidden="1" customHeight="1" x14ac:dyDescent="0.2">
      <c r="A334" s="100" t="s">
        <v>181</v>
      </c>
      <c r="B334" s="98"/>
      <c r="C334" s="98"/>
      <c r="D334" s="102">
        <f>+D333</f>
        <v>0</v>
      </c>
      <c r="E334" s="102">
        <f>+D334+E333</f>
        <v>0</v>
      </c>
      <c r="F334" s="102">
        <f t="shared" ref="F334:O334" si="123">+E334+F333</f>
        <v>0</v>
      </c>
      <c r="G334" s="102">
        <f t="shared" si="123"/>
        <v>0</v>
      </c>
      <c r="H334" s="102">
        <f t="shared" si="123"/>
        <v>0</v>
      </c>
      <c r="I334" s="102">
        <f t="shared" si="123"/>
        <v>0</v>
      </c>
      <c r="J334" s="102">
        <f t="shared" si="123"/>
        <v>0</v>
      </c>
      <c r="K334" s="102">
        <f t="shared" si="123"/>
        <v>0</v>
      </c>
      <c r="L334" s="102">
        <f t="shared" si="123"/>
        <v>0</v>
      </c>
      <c r="M334" s="102">
        <f t="shared" si="123"/>
        <v>0</v>
      </c>
      <c r="N334" s="102">
        <f t="shared" si="123"/>
        <v>0</v>
      </c>
      <c r="O334" s="102">
        <f t="shared" si="123"/>
        <v>0</v>
      </c>
      <c r="P334" s="99"/>
      <c r="Q334" s="99"/>
      <c r="U334" s="92"/>
      <c r="V334" s="92"/>
    </row>
    <row r="335" spans="1:22" s="97" customFormat="1" ht="12.75" hidden="1" customHeight="1" x14ac:dyDescent="0.2">
      <c r="A335" s="97" t="s">
        <v>215</v>
      </c>
      <c r="B335" s="98"/>
      <c r="C335" s="98"/>
      <c r="D335" s="99">
        <f>+D10/12</f>
        <v>0</v>
      </c>
      <c r="E335" s="99">
        <f>+E10/11+D335</f>
        <v>0</v>
      </c>
      <c r="F335" s="99">
        <f>+F10/10+E335</f>
        <v>0</v>
      </c>
      <c r="G335" s="99">
        <f>+G10/9+F335</f>
        <v>0</v>
      </c>
      <c r="H335" s="99">
        <f>+H10/8+G335</f>
        <v>0</v>
      </c>
      <c r="I335" s="99">
        <f>+I10/7+H335</f>
        <v>0</v>
      </c>
      <c r="J335" s="99">
        <f>+J10/6+I335</f>
        <v>0</v>
      </c>
      <c r="K335" s="99">
        <f>+K10/5+J335</f>
        <v>0</v>
      </c>
      <c r="L335" s="99">
        <f>+L10/4+K335</f>
        <v>0</v>
      </c>
      <c r="M335" s="99">
        <f>+M10/3+L335</f>
        <v>0</v>
      </c>
      <c r="N335" s="99">
        <f>+N10/2+M335</f>
        <v>0</v>
      </c>
      <c r="O335" s="99">
        <f>+O10/1+N335</f>
        <v>0</v>
      </c>
      <c r="P335" s="99">
        <f>SUM(D335:O335)</f>
        <v>0</v>
      </c>
      <c r="Q335" s="99"/>
      <c r="U335" s="92"/>
      <c r="V335" s="92"/>
    </row>
    <row r="336" spans="1:22" s="97" customFormat="1" ht="12.75" hidden="1" customHeight="1" x14ac:dyDescent="0.2">
      <c r="A336" s="100" t="s">
        <v>216</v>
      </c>
      <c r="B336" s="98"/>
      <c r="C336" s="98"/>
      <c r="D336" s="102">
        <f>+D335</f>
        <v>0</v>
      </c>
      <c r="E336" s="102">
        <f>+D336+E335</f>
        <v>0</v>
      </c>
      <c r="F336" s="102">
        <f t="shared" ref="F336:O336" si="124">+E336+F335</f>
        <v>0</v>
      </c>
      <c r="G336" s="102">
        <f t="shared" si="124"/>
        <v>0</v>
      </c>
      <c r="H336" s="102">
        <f t="shared" si="124"/>
        <v>0</v>
      </c>
      <c r="I336" s="102">
        <f t="shared" si="124"/>
        <v>0</v>
      </c>
      <c r="J336" s="102">
        <f t="shared" si="124"/>
        <v>0</v>
      </c>
      <c r="K336" s="102">
        <f t="shared" si="124"/>
        <v>0</v>
      </c>
      <c r="L336" s="102">
        <f t="shared" si="124"/>
        <v>0</v>
      </c>
      <c r="M336" s="102">
        <f t="shared" si="124"/>
        <v>0</v>
      </c>
      <c r="N336" s="102">
        <f t="shared" si="124"/>
        <v>0</v>
      </c>
      <c r="O336" s="102">
        <f t="shared" si="124"/>
        <v>0</v>
      </c>
      <c r="P336" s="99"/>
      <c r="Q336" s="99"/>
      <c r="U336" s="92"/>
      <c r="V336" s="92"/>
    </row>
    <row r="337" spans="1:22" s="97" customFormat="1" ht="12.75" hidden="1" customHeight="1" x14ac:dyDescent="0.2">
      <c r="A337" s="103" t="s">
        <v>180</v>
      </c>
      <c r="B337" s="104"/>
      <c r="C337" s="98"/>
      <c r="D337" s="105">
        <f>+D16/12</f>
        <v>0</v>
      </c>
      <c r="E337" s="105">
        <f>+E16/11+D337</f>
        <v>0</v>
      </c>
      <c r="F337" s="105">
        <f>+F16/10+E337</f>
        <v>0</v>
      </c>
      <c r="G337" s="105">
        <f>+G16/9+F337</f>
        <v>0</v>
      </c>
      <c r="H337" s="105">
        <f>+H16/8+G337</f>
        <v>0</v>
      </c>
      <c r="I337" s="105">
        <f>+I16/7+H337</f>
        <v>0</v>
      </c>
      <c r="J337" s="105">
        <f>+J16/6+I337</f>
        <v>0</v>
      </c>
      <c r="K337" s="105">
        <f>+K16/5+J337</f>
        <v>0</v>
      </c>
      <c r="L337" s="105">
        <f>+L16/4+K337</f>
        <v>0</v>
      </c>
      <c r="M337" s="105">
        <f>+M16/3+L337</f>
        <v>0</v>
      </c>
      <c r="N337" s="105">
        <f>+N16/2+M337</f>
        <v>0</v>
      </c>
      <c r="O337" s="105">
        <f>+O16/1+N337</f>
        <v>0</v>
      </c>
      <c r="P337" s="99">
        <f>SUM(D337:O337)</f>
        <v>0</v>
      </c>
      <c r="Q337" s="99"/>
      <c r="U337" s="92"/>
      <c r="V337" s="92"/>
    </row>
    <row r="338" spans="1:22" s="97" customFormat="1" ht="12.75" hidden="1" customHeight="1" x14ac:dyDescent="0.2">
      <c r="A338" s="106" t="s">
        <v>182</v>
      </c>
      <c r="B338" s="107"/>
      <c r="C338" s="98"/>
      <c r="D338" s="108">
        <f>+D337</f>
        <v>0</v>
      </c>
      <c r="E338" s="108">
        <f>+D338+E337</f>
        <v>0</v>
      </c>
      <c r="F338" s="108">
        <f t="shared" ref="F338:O338" si="125">+E338+F337</f>
        <v>0</v>
      </c>
      <c r="G338" s="108">
        <f t="shared" si="125"/>
        <v>0</v>
      </c>
      <c r="H338" s="108">
        <f t="shared" si="125"/>
        <v>0</v>
      </c>
      <c r="I338" s="108">
        <f t="shared" si="125"/>
        <v>0</v>
      </c>
      <c r="J338" s="108">
        <f t="shared" si="125"/>
        <v>0</v>
      </c>
      <c r="K338" s="108">
        <f t="shared" si="125"/>
        <v>0</v>
      </c>
      <c r="L338" s="108">
        <f t="shared" si="125"/>
        <v>0</v>
      </c>
      <c r="M338" s="108">
        <f t="shared" si="125"/>
        <v>0</v>
      </c>
      <c r="N338" s="108">
        <f t="shared" si="125"/>
        <v>0</v>
      </c>
      <c r="O338" s="108">
        <f t="shared" si="125"/>
        <v>0</v>
      </c>
      <c r="P338" s="99"/>
      <c r="Q338" s="99"/>
      <c r="U338" s="92"/>
      <c r="V338" s="92"/>
    </row>
    <row r="339" spans="1:22" s="97" customFormat="1" ht="12.75" hidden="1" customHeight="1" x14ac:dyDescent="0.2">
      <c r="A339" s="103" t="s">
        <v>183</v>
      </c>
      <c r="B339" s="107"/>
      <c r="C339" s="98"/>
      <c r="D339" s="105">
        <f>+D17/12</f>
        <v>0</v>
      </c>
      <c r="E339" s="105">
        <f>+E17/11+D339</f>
        <v>0</v>
      </c>
      <c r="F339" s="105">
        <f>+F17/10+E339</f>
        <v>0</v>
      </c>
      <c r="G339" s="105">
        <f>+G17/9+F339</f>
        <v>0</v>
      </c>
      <c r="H339" s="105">
        <f>+H17/8+G339</f>
        <v>0</v>
      </c>
      <c r="I339" s="105">
        <f>+I17/7+H339</f>
        <v>0</v>
      </c>
      <c r="J339" s="105">
        <f>+J17/6+I339</f>
        <v>0</v>
      </c>
      <c r="K339" s="105">
        <f>+K17/5+J339</f>
        <v>0</v>
      </c>
      <c r="L339" s="105">
        <f>+L17/4+K339</f>
        <v>0</v>
      </c>
      <c r="M339" s="105">
        <f>+M17/3+L339</f>
        <v>0</v>
      </c>
      <c r="N339" s="105">
        <f>+N17/2+M339</f>
        <v>0</v>
      </c>
      <c r="O339" s="105">
        <f>+O17/1+N339</f>
        <v>0</v>
      </c>
      <c r="P339" s="99">
        <f>SUM(D339:O339)</f>
        <v>0</v>
      </c>
      <c r="Q339" s="99"/>
      <c r="U339" s="92"/>
      <c r="V339" s="92"/>
    </row>
    <row r="340" spans="1:22" s="97" customFormat="1" ht="12.75" hidden="1" customHeight="1" x14ac:dyDescent="0.2">
      <c r="A340" s="106" t="s">
        <v>184</v>
      </c>
      <c r="B340" s="107"/>
      <c r="C340" s="98"/>
      <c r="D340" s="108">
        <f>+D339</f>
        <v>0</v>
      </c>
      <c r="E340" s="108">
        <f>+D340+E339</f>
        <v>0</v>
      </c>
      <c r="F340" s="108">
        <f t="shared" ref="F340:O340" si="126">+E340+F339</f>
        <v>0</v>
      </c>
      <c r="G340" s="108">
        <f t="shared" si="126"/>
        <v>0</v>
      </c>
      <c r="H340" s="108">
        <f t="shared" si="126"/>
        <v>0</v>
      </c>
      <c r="I340" s="108">
        <f t="shared" si="126"/>
        <v>0</v>
      </c>
      <c r="J340" s="108">
        <f t="shared" si="126"/>
        <v>0</v>
      </c>
      <c r="K340" s="108">
        <f t="shared" si="126"/>
        <v>0</v>
      </c>
      <c r="L340" s="108">
        <f t="shared" si="126"/>
        <v>0</v>
      </c>
      <c r="M340" s="108">
        <f t="shared" si="126"/>
        <v>0</v>
      </c>
      <c r="N340" s="108">
        <f t="shared" si="126"/>
        <v>0</v>
      </c>
      <c r="O340" s="108">
        <f t="shared" si="126"/>
        <v>0</v>
      </c>
      <c r="P340" s="99"/>
      <c r="Q340" s="99"/>
      <c r="U340" s="92"/>
      <c r="V340" s="92"/>
    </row>
    <row r="341" spans="1:22" s="97" customFormat="1" ht="12.75" hidden="1" customHeight="1" x14ac:dyDescent="0.2">
      <c r="A341" s="103" t="s">
        <v>185</v>
      </c>
      <c r="B341" s="104"/>
      <c r="C341" s="98"/>
      <c r="D341" s="105">
        <f>+D18/12</f>
        <v>0</v>
      </c>
      <c r="E341" s="105">
        <f>+E18/11+D341</f>
        <v>0</v>
      </c>
      <c r="F341" s="105">
        <f>+F18/10+E341</f>
        <v>0</v>
      </c>
      <c r="G341" s="105">
        <f>+G18/9+F341</f>
        <v>0</v>
      </c>
      <c r="H341" s="105">
        <f>+H18/8+G341</f>
        <v>0</v>
      </c>
      <c r="I341" s="105">
        <f>+I18/7+H341</f>
        <v>0</v>
      </c>
      <c r="J341" s="105">
        <f>+J18/6+I341</f>
        <v>0</v>
      </c>
      <c r="K341" s="105">
        <f>+K18/5+J341</f>
        <v>0</v>
      </c>
      <c r="L341" s="105">
        <f>+L18/4+K341</f>
        <v>0</v>
      </c>
      <c r="M341" s="105">
        <f>+M18/3+L341</f>
        <v>0</v>
      </c>
      <c r="N341" s="105">
        <f>+N18/2+M341</f>
        <v>0</v>
      </c>
      <c r="O341" s="105">
        <f>+O18/1+N341</f>
        <v>0</v>
      </c>
      <c r="P341" s="99">
        <f>SUM(D341:O341)</f>
        <v>0</v>
      </c>
      <c r="Q341" s="99"/>
      <c r="U341" s="92"/>
      <c r="V341" s="92"/>
    </row>
    <row r="342" spans="1:22" s="97" customFormat="1" ht="12.75" hidden="1" customHeight="1" x14ac:dyDescent="0.2">
      <c r="A342" s="106" t="s">
        <v>186</v>
      </c>
      <c r="B342" s="107"/>
      <c r="C342" s="98"/>
      <c r="D342" s="108">
        <f>+D341</f>
        <v>0</v>
      </c>
      <c r="E342" s="108">
        <f>+D342+E341</f>
        <v>0</v>
      </c>
      <c r="F342" s="108">
        <f t="shared" ref="F342:O342" si="127">+E342+F341</f>
        <v>0</v>
      </c>
      <c r="G342" s="108">
        <f t="shared" si="127"/>
        <v>0</v>
      </c>
      <c r="H342" s="108">
        <f t="shared" si="127"/>
        <v>0</v>
      </c>
      <c r="I342" s="108">
        <f t="shared" si="127"/>
        <v>0</v>
      </c>
      <c r="J342" s="108">
        <f t="shared" si="127"/>
        <v>0</v>
      </c>
      <c r="K342" s="108">
        <f t="shared" si="127"/>
        <v>0</v>
      </c>
      <c r="L342" s="108">
        <f t="shared" si="127"/>
        <v>0</v>
      </c>
      <c r="M342" s="108">
        <f t="shared" si="127"/>
        <v>0</v>
      </c>
      <c r="N342" s="108">
        <f t="shared" si="127"/>
        <v>0</v>
      </c>
      <c r="O342" s="108">
        <f t="shared" si="127"/>
        <v>0</v>
      </c>
      <c r="P342" s="99"/>
      <c r="Q342" s="99"/>
      <c r="U342" s="92"/>
      <c r="V342" s="92"/>
    </row>
    <row r="343" spans="1:22" s="97" customFormat="1" ht="12.75" hidden="1" customHeight="1" x14ac:dyDescent="0.2">
      <c r="A343" s="103" t="s">
        <v>326</v>
      </c>
      <c r="B343" s="104"/>
      <c r="C343" s="98"/>
      <c r="D343" s="105">
        <f>+D32/12</f>
        <v>0</v>
      </c>
      <c r="E343" s="105">
        <f>+E32/11+D343</f>
        <v>0</v>
      </c>
      <c r="F343" s="105">
        <f>+F32/10+E343</f>
        <v>0</v>
      </c>
      <c r="G343" s="105">
        <f>+G32/9+F343</f>
        <v>0</v>
      </c>
      <c r="H343" s="105">
        <f>+H32/8+G343</f>
        <v>0</v>
      </c>
      <c r="I343" s="105">
        <f>+I32/7+H343</f>
        <v>0</v>
      </c>
      <c r="J343" s="105">
        <f>+J32/6+I343</f>
        <v>0</v>
      </c>
      <c r="K343" s="105">
        <f>+K32/5+J343</f>
        <v>0</v>
      </c>
      <c r="L343" s="105">
        <f>+L32/4+K343</f>
        <v>0</v>
      </c>
      <c r="M343" s="105">
        <f>+M32/3+L343</f>
        <v>0</v>
      </c>
      <c r="N343" s="105">
        <f>+N32/2+M343</f>
        <v>0</v>
      </c>
      <c r="O343" s="105">
        <f>+O32/1+N343</f>
        <v>0</v>
      </c>
      <c r="P343" s="99">
        <f>SUM(D343:O343)</f>
        <v>0</v>
      </c>
      <c r="Q343" s="99"/>
      <c r="U343" s="92"/>
      <c r="V343" s="92"/>
    </row>
    <row r="344" spans="1:22" s="97" customFormat="1" ht="12.75" hidden="1" customHeight="1" x14ac:dyDescent="0.2">
      <c r="A344" s="106" t="s">
        <v>327</v>
      </c>
      <c r="B344" s="107"/>
      <c r="C344" s="98"/>
      <c r="D344" s="108">
        <f>+D343</f>
        <v>0</v>
      </c>
      <c r="E344" s="108">
        <f>+D344+E343</f>
        <v>0</v>
      </c>
      <c r="F344" s="108">
        <f t="shared" ref="F344:O344" si="128">+E344+F343</f>
        <v>0</v>
      </c>
      <c r="G344" s="108">
        <f t="shared" si="128"/>
        <v>0</v>
      </c>
      <c r="H344" s="108">
        <f t="shared" si="128"/>
        <v>0</v>
      </c>
      <c r="I344" s="108">
        <f t="shared" si="128"/>
        <v>0</v>
      </c>
      <c r="J344" s="108">
        <f t="shared" si="128"/>
        <v>0</v>
      </c>
      <c r="K344" s="108">
        <f t="shared" si="128"/>
        <v>0</v>
      </c>
      <c r="L344" s="108">
        <f t="shared" si="128"/>
        <v>0</v>
      </c>
      <c r="M344" s="108">
        <f t="shared" si="128"/>
        <v>0</v>
      </c>
      <c r="N344" s="108">
        <f t="shared" si="128"/>
        <v>0</v>
      </c>
      <c r="O344" s="108">
        <f t="shared" si="128"/>
        <v>0</v>
      </c>
      <c r="P344" s="99"/>
      <c r="Q344" s="99"/>
      <c r="U344" s="92"/>
      <c r="V344" s="92"/>
    </row>
    <row r="345" spans="1:22" s="97" customFormat="1" ht="12.75" hidden="1" customHeight="1" x14ac:dyDescent="0.2">
      <c r="A345" s="103" t="s">
        <v>222</v>
      </c>
      <c r="B345" s="104"/>
      <c r="C345" s="98"/>
      <c r="D345" s="105">
        <f>+D33/12</f>
        <v>0</v>
      </c>
      <c r="E345" s="105">
        <f>+E33/11+D345</f>
        <v>0</v>
      </c>
      <c r="F345" s="105">
        <f>+F33/10+E345</f>
        <v>0</v>
      </c>
      <c r="G345" s="105">
        <f>+G33/9+F345</f>
        <v>0</v>
      </c>
      <c r="H345" s="105">
        <f>+H33/8+G345</f>
        <v>0</v>
      </c>
      <c r="I345" s="105">
        <f>+I33/7+H345</f>
        <v>0</v>
      </c>
      <c r="J345" s="105">
        <f>+J33/6+I345</f>
        <v>0</v>
      </c>
      <c r="K345" s="105">
        <f>+K33/5+J345</f>
        <v>0</v>
      </c>
      <c r="L345" s="105">
        <f>+L33/4+K345</f>
        <v>0</v>
      </c>
      <c r="M345" s="105">
        <f>+M33/3+L345</f>
        <v>0</v>
      </c>
      <c r="N345" s="105">
        <f>+N33/2+M345</f>
        <v>0</v>
      </c>
      <c r="O345" s="105">
        <f>+O33/1+N345</f>
        <v>0</v>
      </c>
      <c r="P345" s="99">
        <f>SUM(D345:O345)</f>
        <v>0</v>
      </c>
      <c r="Q345" s="99"/>
      <c r="U345" s="92"/>
      <c r="V345" s="92"/>
    </row>
    <row r="346" spans="1:22" s="100" customFormat="1" ht="12.75" hidden="1" customHeight="1" x14ac:dyDescent="0.2">
      <c r="A346" s="106" t="s">
        <v>223</v>
      </c>
      <c r="B346" s="107"/>
      <c r="C346" s="101"/>
      <c r="D346" s="108">
        <f>+D345</f>
        <v>0</v>
      </c>
      <c r="E346" s="108">
        <f>+D346+E345</f>
        <v>0</v>
      </c>
      <c r="F346" s="108">
        <f t="shared" ref="F346:O346" si="129">+E346+F345</f>
        <v>0</v>
      </c>
      <c r="G346" s="108">
        <f t="shared" si="129"/>
        <v>0</v>
      </c>
      <c r="H346" s="108">
        <f t="shared" si="129"/>
        <v>0</v>
      </c>
      <c r="I346" s="108">
        <f t="shared" si="129"/>
        <v>0</v>
      </c>
      <c r="J346" s="108">
        <f t="shared" si="129"/>
        <v>0</v>
      </c>
      <c r="K346" s="108">
        <f t="shared" si="129"/>
        <v>0</v>
      </c>
      <c r="L346" s="108">
        <f t="shared" si="129"/>
        <v>0</v>
      </c>
      <c r="M346" s="108">
        <f t="shared" si="129"/>
        <v>0</v>
      </c>
      <c r="N346" s="108">
        <f t="shared" si="129"/>
        <v>0</v>
      </c>
      <c r="O346" s="108">
        <f t="shared" si="129"/>
        <v>0</v>
      </c>
      <c r="P346" s="102"/>
      <c r="Q346" s="102"/>
      <c r="U346" s="109"/>
      <c r="V346" s="109"/>
    </row>
    <row r="347" spans="1:22" s="97" customFormat="1" ht="12.75" hidden="1" customHeight="1" x14ac:dyDescent="0.2">
      <c r="A347" s="103" t="s">
        <v>187</v>
      </c>
      <c r="B347" s="104"/>
      <c r="C347" s="98"/>
      <c r="D347" s="105">
        <f>+D43/12</f>
        <v>0</v>
      </c>
      <c r="E347" s="105">
        <f>+E43/11+D347</f>
        <v>0</v>
      </c>
      <c r="F347" s="105">
        <f>+F43/10+E347</f>
        <v>0</v>
      </c>
      <c r="G347" s="105">
        <f>+G43/9+F347</f>
        <v>0</v>
      </c>
      <c r="H347" s="105">
        <f>+H43/8+G347</f>
        <v>0</v>
      </c>
      <c r="I347" s="105">
        <f>+I43/7+H347</f>
        <v>0</v>
      </c>
      <c r="J347" s="105">
        <f>+J43/6+I347</f>
        <v>0</v>
      </c>
      <c r="K347" s="105">
        <f>+K43/5+J347</f>
        <v>0</v>
      </c>
      <c r="L347" s="105">
        <f>+L43/4+K347</f>
        <v>0</v>
      </c>
      <c r="M347" s="105">
        <f>+M43/3+L347</f>
        <v>0</v>
      </c>
      <c r="N347" s="105">
        <f>+N43/2+M347</f>
        <v>0</v>
      </c>
      <c r="O347" s="105">
        <f>+O43/1+N347</f>
        <v>0</v>
      </c>
      <c r="P347" s="99">
        <f>SUM(D347:O347)</f>
        <v>0</v>
      </c>
      <c r="Q347" s="99"/>
      <c r="U347" s="92"/>
      <c r="V347" s="92"/>
    </row>
    <row r="348" spans="1:22" s="97" customFormat="1" ht="12.75" hidden="1" customHeight="1" x14ac:dyDescent="0.2">
      <c r="A348" s="106" t="s">
        <v>188</v>
      </c>
      <c r="B348" s="107"/>
      <c r="C348" s="98"/>
      <c r="D348" s="102">
        <f>+D347</f>
        <v>0</v>
      </c>
      <c r="E348" s="102">
        <f>+D348+E347</f>
        <v>0</v>
      </c>
      <c r="F348" s="102">
        <f t="shared" ref="F348:O348" si="130">+E348+F347</f>
        <v>0</v>
      </c>
      <c r="G348" s="102">
        <f t="shared" si="130"/>
        <v>0</v>
      </c>
      <c r="H348" s="102">
        <f t="shared" si="130"/>
        <v>0</v>
      </c>
      <c r="I348" s="102">
        <f t="shared" si="130"/>
        <v>0</v>
      </c>
      <c r="J348" s="102">
        <f t="shared" si="130"/>
        <v>0</v>
      </c>
      <c r="K348" s="102">
        <f t="shared" si="130"/>
        <v>0</v>
      </c>
      <c r="L348" s="102">
        <f t="shared" si="130"/>
        <v>0</v>
      </c>
      <c r="M348" s="102">
        <f t="shared" si="130"/>
        <v>0</v>
      </c>
      <c r="N348" s="102">
        <f t="shared" si="130"/>
        <v>0</v>
      </c>
      <c r="O348" s="102">
        <f t="shared" si="130"/>
        <v>0</v>
      </c>
      <c r="P348" s="99"/>
      <c r="Q348" s="99"/>
      <c r="U348" s="92"/>
      <c r="V348" s="92"/>
    </row>
    <row r="349" spans="1:22" s="97" customFormat="1" ht="12.75" hidden="1" customHeight="1" x14ac:dyDescent="0.2">
      <c r="A349" s="103" t="s">
        <v>189</v>
      </c>
      <c r="B349" s="104"/>
      <c r="C349" s="98"/>
      <c r="D349" s="99">
        <f>+D47/12</f>
        <v>0</v>
      </c>
      <c r="E349" s="99">
        <f>+E47/11+D349</f>
        <v>0</v>
      </c>
      <c r="F349" s="99">
        <f>+F47/10+E349</f>
        <v>0</v>
      </c>
      <c r="G349" s="99">
        <f>+G47/9+F349</f>
        <v>0</v>
      </c>
      <c r="H349" s="99">
        <f>+H47/8+G349</f>
        <v>0</v>
      </c>
      <c r="I349" s="99">
        <f>+I47/7+H349</f>
        <v>0</v>
      </c>
      <c r="J349" s="99">
        <f>+J47/6+I349</f>
        <v>0</v>
      </c>
      <c r="K349" s="99">
        <f>+K47/5+J349</f>
        <v>0</v>
      </c>
      <c r="L349" s="99">
        <f>+L47/4+K349</f>
        <v>0</v>
      </c>
      <c r="M349" s="99">
        <f>+M47/3+L349</f>
        <v>0</v>
      </c>
      <c r="N349" s="99">
        <f>+N47/2+M349</f>
        <v>0</v>
      </c>
      <c r="O349" s="99">
        <f>+O47/1+N349</f>
        <v>0</v>
      </c>
      <c r="P349" s="99">
        <f>SUM(D349:O349)</f>
        <v>0</v>
      </c>
      <c r="Q349" s="99"/>
      <c r="U349" s="92"/>
      <c r="V349" s="92"/>
    </row>
    <row r="350" spans="1:22" s="97" customFormat="1" ht="12.75" hidden="1" customHeight="1" x14ac:dyDescent="0.2">
      <c r="A350" s="106" t="s">
        <v>190</v>
      </c>
      <c r="B350" s="107"/>
      <c r="C350" s="98"/>
      <c r="D350" s="102">
        <f>+D349</f>
        <v>0</v>
      </c>
      <c r="E350" s="102">
        <f>+D350+E349</f>
        <v>0</v>
      </c>
      <c r="F350" s="102">
        <f t="shared" ref="F350:O350" si="131">+E350+F349</f>
        <v>0</v>
      </c>
      <c r="G350" s="102">
        <f t="shared" si="131"/>
        <v>0</v>
      </c>
      <c r="H350" s="102">
        <f t="shared" si="131"/>
        <v>0</v>
      </c>
      <c r="I350" s="102">
        <f t="shared" si="131"/>
        <v>0</v>
      </c>
      <c r="J350" s="102">
        <f t="shared" si="131"/>
        <v>0</v>
      </c>
      <c r="K350" s="102">
        <f t="shared" si="131"/>
        <v>0</v>
      </c>
      <c r="L350" s="102">
        <f t="shared" si="131"/>
        <v>0</v>
      </c>
      <c r="M350" s="102">
        <f t="shared" si="131"/>
        <v>0</v>
      </c>
      <c r="N350" s="102">
        <f t="shared" si="131"/>
        <v>0</v>
      </c>
      <c r="O350" s="102">
        <f t="shared" si="131"/>
        <v>0</v>
      </c>
      <c r="P350" s="99"/>
      <c r="Q350" s="99"/>
      <c r="U350" s="92"/>
      <c r="V350" s="92"/>
    </row>
    <row r="351" spans="1:22" s="97" customFormat="1" ht="12.75" hidden="1" customHeight="1" x14ac:dyDescent="0.2">
      <c r="A351" s="97" t="s">
        <v>191</v>
      </c>
      <c r="B351" s="98"/>
      <c r="C351" s="98"/>
      <c r="D351" s="99">
        <f>+D48/12</f>
        <v>0</v>
      </c>
      <c r="E351" s="99">
        <f>+E48/11+D351</f>
        <v>0</v>
      </c>
      <c r="F351" s="99">
        <f>+F48/10+E351</f>
        <v>0</v>
      </c>
      <c r="G351" s="99">
        <f>+G48/9+F351</f>
        <v>0</v>
      </c>
      <c r="H351" s="99">
        <f>+H48/8+G351</f>
        <v>0</v>
      </c>
      <c r="I351" s="99">
        <f>+I48/7+H351</f>
        <v>0</v>
      </c>
      <c r="J351" s="99">
        <f>+J48/6+I351</f>
        <v>0</v>
      </c>
      <c r="K351" s="99">
        <f>+K48/5+J351</f>
        <v>0</v>
      </c>
      <c r="L351" s="99">
        <f>+L48/4+K351</f>
        <v>0</v>
      </c>
      <c r="M351" s="99">
        <f>+M48/3+L351</f>
        <v>0</v>
      </c>
      <c r="N351" s="99">
        <f>+N48/2+M351</f>
        <v>0</v>
      </c>
      <c r="O351" s="99">
        <f>+O48/1+N351</f>
        <v>0</v>
      </c>
      <c r="P351" s="99">
        <f>SUM(D351:O351)</f>
        <v>0</v>
      </c>
      <c r="Q351" s="99"/>
      <c r="U351" s="92"/>
      <c r="V351" s="92"/>
    </row>
    <row r="352" spans="1:22" s="97" customFormat="1" ht="12.75" hidden="1" customHeight="1" x14ac:dyDescent="0.2">
      <c r="A352" s="100" t="s">
        <v>192</v>
      </c>
      <c r="B352" s="101"/>
      <c r="C352" s="101"/>
      <c r="D352" s="102">
        <f>+D351</f>
        <v>0</v>
      </c>
      <c r="E352" s="102">
        <f>+D352+E351</f>
        <v>0</v>
      </c>
      <c r="F352" s="102">
        <f t="shared" ref="F352:O352" si="132">+E352+F351</f>
        <v>0</v>
      </c>
      <c r="G352" s="102">
        <f t="shared" si="132"/>
        <v>0</v>
      </c>
      <c r="H352" s="102">
        <f t="shared" si="132"/>
        <v>0</v>
      </c>
      <c r="I352" s="102">
        <f t="shared" si="132"/>
        <v>0</v>
      </c>
      <c r="J352" s="102">
        <f t="shared" si="132"/>
        <v>0</v>
      </c>
      <c r="K352" s="102">
        <f t="shared" si="132"/>
        <v>0</v>
      </c>
      <c r="L352" s="102">
        <f t="shared" si="132"/>
        <v>0</v>
      </c>
      <c r="M352" s="102">
        <f t="shared" si="132"/>
        <v>0</v>
      </c>
      <c r="N352" s="102">
        <f t="shared" si="132"/>
        <v>0</v>
      </c>
      <c r="O352" s="102">
        <f t="shared" si="132"/>
        <v>0</v>
      </c>
      <c r="P352" s="102"/>
      <c r="Q352" s="99"/>
      <c r="U352" s="92"/>
      <c r="V352" s="92"/>
    </row>
    <row r="353" spans="1:22" s="97" customFormat="1" ht="12.75" hidden="1" customHeight="1" x14ac:dyDescent="0.2">
      <c r="A353" s="97" t="s">
        <v>193</v>
      </c>
      <c r="B353" s="98"/>
      <c r="C353" s="98"/>
      <c r="D353" s="99">
        <f>+D49/12</f>
        <v>0</v>
      </c>
      <c r="E353" s="99">
        <f>+E49/11+D353</f>
        <v>0</v>
      </c>
      <c r="F353" s="99">
        <f>+F49/10+E353</f>
        <v>0</v>
      </c>
      <c r="G353" s="99">
        <f>+G49/9+F353</f>
        <v>0</v>
      </c>
      <c r="H353" s="99">
        <f>+H49/8+G353</f>
        <v>0</v>
      </c>
      <c r="I353" s="99">
        <f>+I49/7+H353</f>
        <v>0</v>
      </c>
      <c r="J353" s="99">
        <f>+J49/6+I353</f>
        <v>0</v>
      </c>
      <c r="K353" s="99">
        <f>+K49/5+J353</f>
        <v>0</v>
      </c>
      <c r="L353" s="99">
        <f>+L49/4+K353</f>
        <v>0</v>
      </c>
      <c r="M353" s="99">
        <f>+M49/3+L353</f>
        <v>0</v>
      </c>
      <c r="N353" s="99">
        <f>+N49/2+M353</f>
        <v>0</v>
      </c>
      <c r="O353" s="99">
        <f>+O49/1+N353</f>
        <v>0</v>
      </c>
      <c r="P353" s="99">
        <f>SUM(D353:O353)</f>
        <v>0</v>
      </c>
      <c r="Q353" s="99"/>
      <c r="U353" s="92"/>
      <c r="V353" s="92"/>
    </row>
    <row r="354" spans="1:22" s="97" customFormat="1" ht="12.75" hidden="1" customHeight="1" x14ac:dyDescent="0.2">
      <c r="A354" s="100" t="s">
        <v>194</v>
      </c>
      <c r="B354" s="101"/>
      <c r="C354" s="101"/>
      <c r="D354" s="102">
        <f>+D353</f>
        <v>0</v>
      </c>
      <c r="E354" s="102">
        <f>+D354+E353</f>
        <v>0</v>
      </c>
      <c r="F354" s="102">
        <f t="shared" ref="F354:O354" si="133">+E354+F353</f>
        <v>0</v>
      </c>
      <c r="G354" s="102">
        <f t="shared" si="133"/>
        <v>0</v>
      </c>
      <c r="H354" s="102">
        <f t="shared" si="133"/>
        <v>0</v>
      </c>
      <c r="I354" s="102">
        <f t="shared" si="133"/>
        <v>0</v>
      </c>
      <c r="J354" s="102">
        <f t="shared" si="133"/>
        <v>0</v>
      </c>
      <c r="K354" s="102">
        <f t="shared" si="133"/>
        <v>0</v>
      </c>
      <c r="L354" s="102">
        <f t="shared" si="133"/>
        <v>0</v>
      </c>
      <c r="M354" s="102">
        <f t="shared" si="133"/>
        <v>0</v>
      </c>
      <c r="N354" s="102">
        <f t="shared" si="133"/>
        <v>0</v>
      </c>
      <c r="O354" s="102">
        <f t="shared" si="133"/>
        <v>0</v>
      </c>
      <c r="P354" s="102"/>
      <c r="Q354" s="99"/>
      <c r="U354" s="92"/>
      <c r="V354" s="92"/>
    </row>
    <row r="355" spans="1:22" s="97" customFormat="1" ht="12.75" hidden="1" customHeight="1" x14ac:dyDescent="0.2">
      <c r="A355" s="97" t="s">
        <v>195</v>
      </c>
      <c r="B355" s="98"/>
      <c r="C355" s="98"/>
      <c r="D355" s="99">
        <f>+D61/12</f>
        <v>0</v>
      </c>
      <c r="E355" s="99">
        <f>+E61/11+D355</f>
        <v>0</v>
      </c>
      <c r="F355" s="99">
        <f>+F61/10+E355</f>
        <v>0</v>
      </c>
      <c r="G355" s="99">
        <f>+G61/9+F355</f>
        <v>0</v>
      </c>
      <c r="H355" s="99">
        <f>+H61/8+G355</f>
        <v>0</v>
      </c>
      <c r="I355" s="99">
        <f>+I61/7+H355</f>
        <v>0</v>
      </c>
      <c r="J355" s="99">
        <f>+J61/6+I355</f>
        <v>0</v>
      </c>
      <c r="K355" s="99">
        <f>+K61/5+J355</f>
        <v>0</v>
      </c>
      <c r="L355" s="99">
        <f>+L61/4+K355</f>
        <v>0</v>
      </c>
      <c r="M355" s="99">
        <f>+M61/3+L355</f>
        <v>0</v>
      </c>
      <c r="N355" s="99">
        <f>+N61/2+M355</f>
        <v>0</v>
      </c>
      <c r="O355" s="99">
        <f>+O61/1+N355</f>
        <v>0</v>
      </c>
      <c r="P355" s="99">
        <f>SUM(D355:O355)</f>
        <v>0</v>
      </c>
      <c r="Q355" s="99"/>
      <c r="U355" s="92"/>
      <c r="V355" s="92"/>
    </row>
    <row r="356" spans="1:22" s="97" customFormat="1" ht="12.75" hidden="1" customHeight="1" x14ac:dyDescent="0.2">
      <c r="A356" s="100" t="s">
        <v>196</v>
      </c>
      <c r="B356" s="101"/>
      <c r="C356" s="101"/>
      <c r="D356" s="102">
        <f>+D355</f>
        <v>0</v>
      </c>
      <c r="E356" s="102">
        <f>+D356+E355</f>
        <v>0</v>
      </c>
      <c r="F356" s="102">
        <f t="shared" ref="F356:O356" si="134">+E356+F355</f>
        <v>0</v>
      </c>
      <c r="G356" s="102">
        <f t="shared" si="134"/>
        <v>0</v>
      </c>
      <c r="H356" s="102">
        <f t="shared" si="134"/>
        <v>0</v>
      </c>
      <c r="I356" s="102">
        <f t="shared" si="134"/>
        <v>0</v>
      </c>
      <c r="J356" s="102">
        <f t="shared" si="134"/>
        <v>0</v>
      </c>
      <c r="K356" s="102">
        <f t="shared" si="134"/>
        <v>0</v>
      </c>
      <c r="L356" s="102">
        <f t="shared" si="134"/>
        <v>0</v>
      </c>
      <c r="M356" s="102">
        <f t="shared" si="134"/>
        <v>0</v>
      </c>
      <c r="N356" s="102">
        <f t="shared" si="134"/>
        <v>0</v>
      </c>
      <c r="O356" s="102">
        <f t="shared" si="134"/>
        <v>0</v>
      </c>
      <c r="P356" s="102"/>
      <c r="Q356" s="99"/>
      <c r="U356" s="92"/>
      <c r="V356" s="92"/>
    </row>
    <row r="357" spans="1:22" s="97" customFormat="1" ht="12.75" hidden="1" customHeight="1" x14ac:dyDescent="0.2">
      <c r="B357" s="98"/>
      <c r="C357" s="98"/>
      <c r="D357" s="99"/>
      <c r="E357" s="99"/>
      <c r="F357" s="99"/>
      <c r="G357" s="99"/>
      <c r="H357" s="99"/>
      <c r="I357" s="99"/>
      <c r="J357" s="99"/>
      <c r="K357" s="99"/>
      <c r="L357" s="99"/>
      <c r="M357" s="99"/>
      <c r="N357" s="99"/>
      <c r="O357" s="99"/>
      <c r="P357" s="99"/>
      <c r="Q357" s="99"/>
      <c r="U357" s="92"/>
      <c r="V357" s="92"/>
    </row>
    <row r="358" spans="1:22" s="97" customFormat="1" ht="12.75" hidden="1" customHeight="1" x14ac:dyDescent="0.2">
      <c r="B358" s="98"/>
      <c r="C358" s="98"/>
      <c r="D358" s="99"/>
      <c r="E358" s="99"/>
      <c r="F358" s="99"/>
      <c r="G358" s="99"/>
      <c r="H358" s="99"/>
      <c r="I358" s="99"/>
      <c r="J358" s="99"/>
      <c r="K358" s="99"/>
      <c r="L358" s="99"/>
      <c r="M358" s="99"/>
      <c r="N358" s="99"/>
      <c r="O358" s="99"/>
      <c r="P358" s="99"/>
      <c r="Q358" s="99"/>
      <c r="U358" s="92"/>
      <c r="V358" s="92"/>
    </row>
    <row r="359" spans="1:22" s="97" customFormat="1" ht="12.75" hidden="1" customHeight="1" x14ac:dyDescent="0.2">
      <c r="A359" s="97" t="s">
        <v>314</v>
      </c>
      <c r="B359" s="98"/>
      <c r="C359" s="98"/>
      <c r="D359" s="99">
        <f t="shared" ref="D359:O359" si="135">+SUMIFS(D7:D37,$C7:$C37,"R")</f>
        <v>2200000</v>
      </c>
      <c r="E359" s="99">
        <f t="shared" si="135"/>
        <v>2200000</v>
      </c>
      <c r="F359" s="99">
        <f t="shared" si="135"/>
        <v>2200000</v>
      </c>
      <c r="G359" s="99">
        <f t="shared" si="135"/>
        <v>2200000</v>
      </c>
      <c r="H359" s="99">
        <f t="shared" si="135"/>
        <v>2200000</v>
      </c>
      <c r="I359" s="99">
        <f t="shared" si="135"/>
        <v>2200000</v>
      </c>
      <c r="J359" s="99">
        <f t="shared" si="135"/>
        <v>2200000</v>
      </c>
      <c r="K359" s="99">
        <f t="shared" si="135"/>
        <v>2200000</v>
      </c>
      <c r="L359" s="99">
        <f t="shared" si="135"/>
        <v>2200000</v>
      </c>
      <c r="M359" s="99">
        <f t="shared" si="135"/>
        <v>2200000</v>
      </c>
      <c r="N359" s="99">
        <f t="shared" si="135"/>
        <v>2200000</v>
      </c>
      <c r="O359" s="99">
        <f t="shared" si="135"/>
        <v>2200000</v>
      </c>
      <c r="P359" s="99"/>
      <c r="Q359" s="99"/>
      <c r="U359" s="92"/>
      <c r="V359" s="92"/>
    </row>
    <row r="360" spans="1:22" s="97" customFormat="1" ht="12.75" hidden="1" customHeight="1" x14ac:dyDescent="0.2">
      <c r="A360" s="97" t="s">
        <v>313</v>
      </c>
      <c r="B360" s="98"/>
      <c r="C360" s="98"/>
      <c r="D360" s="99">
        <f t="shared" ref="D360:O360" si="136">+SUMIFS(D7:D37,$C7:$C37,"R",$B7:$B37,"NH")/12+C360</f>
        <v>0</v>
      </c>
      <c r="E360" s="99">
        <f t="shared" si="136"/>
        <v>0</v>
      </c>
      <c r="F360" s="99">
        <f t="shared" si="136"/>
        <v>0</v>
      </c>
      <c r="G360" s="99">
        <f t="shared" si="136"/>
        <v>0</v>
      </c>
      <c r="H360" s="99">
        <f t="shared" si="136"/>
        <v>0</v>
      </c>
      <c r="I360" s="99">
        <f t="shared" si="136"/>
        <v>0</v>
      </c>
      <c r="J360" s="99">
        <f t="shared" si="136"/>
        <v>0</v>
      </c>
      <c r="K360" s="99">
        <f t="shared" si="136"/>
        <v>0</v>
      </c>
      <c r="L360" s="99">
        <f t="shared" si="136"/>
        <v>0</v>
      </c>
      <c r="M360" s="99">
        <f t="shared" si="136"/>
        <v>0</v>
      </c>
      <c r="N360" s="99">
        <f t="shared" si="136"/>
        <v>0</v>
      </c>
      <c r="O360" s="99">
        <f t="shared" si="136"/>
        <v>0</v>
      </c>
      <c r="P360" s="99"/>
      <c r="Q360" s="99"/>
      <c r="U360" s="92"/>
      <c r="V360" s="92"/>
    </row>
    <row r="361" spans="1:22" s="97" customFormat="1" ht="12.75" hidden="1" customHeight="1" x14ac:dyDescent="0.2">
      <c r="B361" s="98"/>
      <c r="C361" s="98"/>
      <c r="D361" s="99"/>
      <c r="E361" s="99"/>
      <c r="F361" s="99"/>
      <c r="G361" s="99"/>
      <c r="H361" s="99"/>
      <c r="I361" s="99"/>
      <c r="J361" s="99"/>
      <c r="K361" s="99"/>
      <c r="L361" s="99"/>
      <c r="M361" s="99"/>
      <c r="N361" s="99"/>
      <c r="O361" s="99"/>
      <c r="P361" s="99"/>
      <c r="Q361" s="99"/>
      <c r="U361" s="92"/>
      <c r="V361" s="92"/>
    </row>
    <row r="362" spans="1:22" s="97" customFormat="1" ht="12.75" hidden="1" customHeight="1" x14ac:dyDescent="0.2">
      <c r="B362" s="98"/>
      <c r="C362" s="98"/>
      <c r="D362" s="99"/>
      <c r="E362" s="99"/>
      <c r="F362" s="99"/>
      <c r="G362" s="99"/>
      <c r="H362" s="99"/>
      <c r="I362" s="99"/>
      <c r="J362" s="99"/>
      <c r="K362" s="99"/>
      <c r="L362" s="99"/>
      <c r="M362" s="99"/>
      <c r="N362" s="99"/>
      <c r="O362" s="99"/>
      <c r="P362" s="99"/>
      <c r="Q362" s="99"/>
      <c r="U362" s="92"/>
      <c r="V362" s="92"/>
    </row>
    <row r="363" spans="1:22" s="97" customFormat="1" ht="12.75" hidden="1" customHeight="1" x14ac:dyDescent="0.2">
      <c r="A363" s="112" t="s">
        <v>384</v>
      </c>
      <c r="B363" s="98"/>
      <c r="C363" s="98"/>
      <c r="D363" s="99"/>
      <c r="E363" s="99"/>
      <c r="F363" s="99"/>
      <c r="G363" s="99"/>
      <c r="H363" s="99"/>
      <c r="I363" s="99"/>
      <c r="J363" s="99"/>
      <c r="K363" s="99"/>
      <c r="L363" s="99"/>
      <c r="M363" s="99"/>
      <c r="N363" s="99"/>
      <c r="O363" s="99"/>
      <c r="P363" s="99"/>
      <c r="Q363" s="99"/>
      <c r="U363" s="92"/>
      <c r="V363" s="92"/>
    </row>
    <row r="364" spans="1:22" s="97" customFormat="1" ht="12.75" hidden="1" customHeight="1" x14ac:dyDescent="0.2">
      <c r="A364" s="113" t="s">
        <v>370</v>
      </c>
      <c r="B364" s="98"/>
      <c r="C364" s="98"/>
      <c r="D364" s="99">
        <f>D193</f>
        <v>183333.33333333334</v>
      </c>
      <c r="E364" s="99">
        <f>E193</f>
        <v>183333.33333333334</v>
      </c>
      <c r="F364" s="99">
        <f>F193</f>
        <v>183333.33333333334</v>
      </c>
      <c r="G364" s="99">
        <f>G193</f>
        <v>183333.33333333334</v>
      </c>
      <c r="H364" s="99">
        <f>H193</f>
        <v>183333.33333333334</v>
      </c>
      <c r="I364" s="102">
        <f>SUM(D364:H364)</f>
        <v>916666.66666666674</v>
      </c>
      <c r="J364" s="99">
        <f>J193</f>
        <v>183333.33333333334</v>
      </c>
      <c r="K364" s="99">
        <f>K193</f>
        <v>183333.33333333334</v>
      </c>
      <c r="L364" s="99">
        <f>L193</f>
        <v>183333.33333333334</v>
      </c>
      <c r="M364" s="99">
        <f>M193</f>
        <v>183333.33333333334</v>
      </c>
      <c r="N364" s="99">
        <f>N193</f>
        <v>183333.33333333334</v>
      </c>
      <c r="O364" s="102">
        <f>SUM(J364:N364)</f>
        <v>916666.66666666674</v>
      </c>
      <c r="P364" s="99"/>
      <c r="Q364" s="99"/>
      <c r="U364" s="92"/>
      <c r="V364" s="92"/>
    </row>
    <row r="365" spans="1:22" s="97" customFormat="1" ht="12.75" hidden="1" customHeight="1" x14ac:dyDescent="0.2">
      <c r="A365" s="113" t="s">
        <v>385</v>
      </c>
      <c r="B365" s="98"/>
      <c r="C365" s="98"/>
      <c r="D365" s="99"/>
      <c r="E365" s="99"/>
      <c r="F365" s="99"/>
      <c r="G365" s="99"/>
      <c r="H365" s="99"/>
      <c r="I365" s="99">
        <f>T103</f>
        <v>1100000</v>
      </c>
      <c r="J365" s="99"/>
      <c r="K365" s="99"/>
      <c r="L365" s="99"/>
      <c r="M365" s="99"/>
      <c r="N365" s="99"/>
      <c r="O365" s="102">
        <f>T105</f>
        <v>1100000</v>
      </c>
      <c r="P365" s="99"/>
      <c r="Q365" s="99"/>
      <c r="U365" s="92"/>
      <c r="V365" s="92"/>
    </row>
    <row r="366" spans="1:22" s="97" customFormat="1" ht="12.75" hidden="1" customHeight="1" x14ac:dyDescent="0.2">
      <c r="A366" s="113"/>
      <c r="B366" s="98"/>
      <c r="C366" s="98"/>
      <c r="D366" s="99"/>
      <c r="E366" s="99"/>
      <c r="F366" s="99"/>
      <c r="G366" s="99"/>
      <c r="H366" s="99"/>
      <c r="I366" s="99"/>
      <c r="J366" s="99"/>
      <c r="K366" s="99"/>
      <c r="L366" s="99"/>
      <c r="M366" s="99"/>
      <c r="N366" s="99"/>
      <c r="O366" s="99"/>
      <c r="P366" s="99"/>
      <c r="Q366" s="99"/>
      <c r="U366" s="92"/>
      <c r="V366" s="92"/>
    </row>
    <row r="367" spans="1:22" s="97" customFormat="1" ht="12.75" hidden="1" customHeight="1" x14ac:dyDescent="0.2">
      <c r="A367" s="113" t="s">
        <v>371</v>
      </c>
      <c r="B367" s="98"/>
      <c r="C367" s="98"/>
      <c r="D367" s="99">
        <f t="shared" ref="D367:H371" si="137">D194</f>
        <v>20166.666666666668</v>
      </c>
      <c r="E367" s="99">
        <f t="shared" si="137"/>
        <v>20166.666666666668</v>
      </c>
      <c r="F367" s="99">
        <f t="shared" si="137"/>
        <v>20166.666666666668</v>
      </c>
      <c r="G367" s="99">
        <f t="shared" si="137"/>
        <v>20166.666666666668</v>
      </c>
      <c r="H367" s="99">
        <f t="shared" si="137"/>
        <v>20166.666666666668</v>
      </c>
      <c r="I367" s="102">
        <f>SUM(D367:H367)</f>
        <v>100833.33333333334</v>
      </c>
      <c r="J367" s="99">
        <f t="shared" ref="J367:N371" si="138">J194</f>
        <v>20166.666666666668</v>
      </c>
      <c r="K367" s="99">
        <f t="shared" si="138"/>
        <v>20166.666666666668</v>
      </c>
      <c r="L367" s="99">
        <f t="shared" si="138"/>
        <v>20166.666666666668</v>
      </c>
      <c r="M367" s="99">
        <f t="shared" si="138"/>
        <v>20166.666666666668</v>
      </c>
      <c r="N367" s="99">
        <f t="shared" si="138"/>
        <v>20166.666666666668</v>
      </c>
      <c r="O367" s="102">
        <f>SUM(J367:N367)</f>
        <v>100833.33333333334</v>
      </c>
      <c r="P367" s="99"/>
      <c r="Q367" s="99"/>
      <c r="U367" s="92"/>
      <c r="V367" s="92"/>
    </row>
    <row r="368" spans="1:22" s="97" customFormat="1" ht="12.75" hidden="1" customHeight="1" x14ac:dyDescent="0.2">
      <c r="A368" s="113" t="s">
        <v>372</v>
      </c>
      <c r="B368" s="98"/>
      <c r="C368" s="98"/>
      <c r="D368" s="99">
        <f t="shared" si="137"/>
        <v>5500</v>
      </c>
      <c r="E368" s="99">
        <f t="shared" si="137"/>
        <v>5500</v>
      </c>
      <c r="F368" s="99">
        <f t="shared" si="137"/>
        <v>5500</v>
      </c>
      <c r="G368" s="99">
        <f t="shared" si="137"/>
        <v>5500</v>
      </c>
      <c r="H368" s="99">
        <f t="shared" si="137"/>
        <v>5500</v>
      </c>
      <c r="I368" s="102">
        <f t="shared" ref="I368:I371" si="139">SUM(D368:H368)</f>
        <v>27500</v>
      </c>
      <c r="J368" s="99">
        <f t="shared" si="138"/>
        <v>5500</v>
      </c>
      <c r="K368" s="99">
        <f t="shared" si="138"/>
        <v>5500</v>
      </c>
      <c r="L368" s="99">
        <f t="shared" si="138"/>
        <v>5500</v>
      </c>
      <c r="M368" s="99">
        <f t="shared" si="138"/>
        <v>5500</v>
      </c>
      <c r="N368" s="99">
        <f t="shared" si="138"/>
        <v>5500</v>
      </c>
      <c r="O368" s="102">
        <f t="shared" ref="O368:O371" si="140">SUM(J368:N368)</f>
        <v>27500</v>
      </c>
      <c r="P368" s="99"/>
      <c r="Q368" s="99"/>
      <c r="U368" s="92"/>
      <c r="V368" s="92"/>
    </row>
    <row r="369" spans="1:22" s="97" customFormat="1" ht="12.75" hidden="1" customHeight="1" x14ac:dyDescent="0.2">
      <c r="A369" s="113" t="s">
        <v>373</v>
      </c>
      <c r="B369" s="98"/>
      <c r="C369" s="98"/>
      <c r="D369" s="99">
        <f t="shared" si="137"/>
        <v>5500</v>
      </c>
      <c r="E369" s="99">
        <f t="shared" si="137"/>
        <v>5500</v>
      </c>
      <c r="F369" s="99">
        <f t="shared" si="137"/>
        <v>5500</v>
      </c>
      <c r="G369" s="99">
        <f t="shared" si="137"/>
        <v>5500</v>
      </c>
      <c r="H369" s="99">
        <f t="shared" si="137"/>
        <v>5500</v>
      </c>
      <c r="I369" s="102">
        <f t="shared" si="139"/>
        <v>27500</v>
      </c>
      <c r="J369" s="99">
        <f t="shared" si="138"/>
        <v>5500</v>
      </c>
      <c r="K369" s="99">
        <f t="shared" si="138"/>
        <v>5500</v>
      </c>
      <c r="L369" s="99">
        <f t="shared" si="138"/>
        <v>5500</v>
      </c>
      <c r="M369" s="99">
        <f t="shared" si="138"/>
        <v>5500</v>
      </c>
      <c r="N369" s="99">
        <f t="shared" si="138"/>
        <v>5500</v>
      </c>
      <c r="O369" s="102">
        <f t="shared" si="140"/>
        <v>27500</v>
      </c>
      <c r="P369" s="99"/>
      <c r="Q369" s="99"/>
      <c r="U369" s="92"/>
      <c r="V369" s="92"/>
    </row>
    <row r="370" spans="1:22" s="97" customFormat="1" ht="12.75" hidden="1" customHeight="1" x14ac:dyDescent="0.2">
      <c r="A370" s="113" t="s">
        <v>374</v>
      </c>
      <c r="B370" s="98"/>
      <c r="C370" s="98"/>
      <c r="D370" s="99">
        <f t="shared" si="137"/>
        <v>0</v>
      </c>
      <c r="E370" s="99">
        <f t="shared" si="137"/>
        <v>0</v>
      </c>
      <c r="F370" s="99">
        <f t="shared" si="137"/>
        <v>0</v>
      </c>
      <c r="G370" s="99">
        <f t="shared" si="137"/>
        <v>0</v>
      </c>
      <c r="H370" s="99">
        <f t="shared" si="137"/>
        <v>0</v>
      </c>
      <c r="I370" s="102">
        <f t="shared" si="139"/>
        <v>0</v>
      </c>
      <c r="J370" s="99">
        <f t="shared" si="138"/>
        <v>0</v>
      </c>
      <c r="K370" s="99">
        <f t="shared" si="138"/>
        <v>0</v>
      </c>
      <c r="L370" s="99">
        <f t="shared" si="138"/>
        <v>0</v>
      </c>
      <c r="M370" s="99">
        <f t="shared" si="138"/>
        <v>0</v>
      </c>
      <c r="N370" s="99">
        <f t="shared" si="138"/>
        <v>0</v>
      </c>
      <c r="O370" s="102">
        <f t="shared" si="140"/>
        <v>0</v>
      </c>
      <c r="P370" s="99"/>
      <c r="Q370" s="99"/>
      <c r="U370" s="92"/>
      <c r="V370" s="92"/>
    </row>
    <row r="371" spans="1:22" s="97" customFormat="1" ht="12.75" hidden="1" customHeight="1" x14ac:dyDescent="0.2">
      <c r="A371" s="113" t="s">
        <v>375</v>
      </c>
      <c r="B371" s="98"/>
      <c r="C371" s="98"/>
      <c r="D371" s="99">
        <f t="shared" si="137"/>
        <v>0</v>
      </c>
      <c r="E371" s="99">
        <f t="shared" si="137"/>
        <v>0</v>
      </c>
      <c r="F371" s="99">
        <f t="shared" si="137"/>
        <v>0</v>
      </c>
      <c r="G371" s="99">
        <f t="shared" si="137"/>
        <v>0</v>
      </c>
      <c r="H371" s="99">
        <f t="shared" si="137"/>
        <v>0</v>
      </c>
      <c r="I371" s="102">
        <f t="shared" si="139"/>
        <v>0</v>
      </c>
      <c r="J371" s="99">
        <f t="shared" si="138"/>
        <v>0</v>
      </c>
      <c r="K371" s="99">
        <f t="shared" si="138"/>
        <v>0</v>
      </c>
      <c r="L371" s="99">
        <f t="shared" si="138"/>
        <v>0</v>
      </c>
      <c r="M371" s="99">
        <f t="shared" si="138"/>
        <v>0</v>
      </c>
      <c r="N371" s="99">
        <f t="shared" si="138"/>
        <v>0</v>
      </c>
      <c r="O371" s="102">
        <f t="shared" si="140"/>
        <v>0</v>
      </c>
      <c r="P371" s="99"/>
      <c r="Q371" s="99"/>
      <c r="U371" s="92"/>
      <c r="V371" s="92"/>
    </row>
    <row r="372" spans="1:22" s="97" customFormat="1" ht="12.75" hidden="1" customHeight="1" x14ac:dyDescent="0.2">
      <c r="A372" s="113"/>
      <c r="B372" s="98"/>
      <c r="C372" s="98"/>
      <c r="D372" s="99"/>
      <c r="E372" s="99"/>
      <c r="F372" s="99"/>
      <c r="G372" s="99"/>
      <c r="H372" s="99"/>
      <c r="I372" s="102"/>
      <c r="J372" s="99"/>
      <c r="K372" s="99"/>
      <c r="L372" s="99"/>
      <c r="M372" s="99"/>
      <c r="N372" s="99"/>
      <c r="O372" s="99"/>
      <c r="P372" s="99"/>
      <c r="Q372" s="99"/>
      <c r="U372" s="92"/>
      <c r="V372" s="92"/>
    </row>
    <row r="373" spans="1:22" s="97" customFormat="1" ht="12.75" hidden="1" customHeight="1" x14ac:dyDescent="0.2">
      <c r="A373" s="113" t="s">
        <v>386</v>
      </c>
      <c r="B373" s="98"/>
      <c r="C373" s="98"/>
      <c r="D373" s="99"/>
      <c r="E373" s="99"/>
      <c r="F373" s="99"/>
      <c r="G373" s="99"/>
      <c r="H373" s="99"/>
      <c r="I373" s="102">
        <f>I105/SUM(I$103:I$104)*I$103</f>
        <v>121000</v>
      </c>
      <c r="J373" s="99"/>
      <c r="K373" s="99"/>
      <c r="L373" s="99"/>
      <c r="M373" s="99"/>
      <c r="N373" s="99"/>
      <c r="O373" s="102">
        <f>O105/SUM(O$103:O$104)*O$103</f>
        <v>121000</v>
      </c>
      <c r="P373" s="99"/>
      <c r="Q373" s="99"/>
      <c r="U373" s="92"/>
      <c r="V373" s="92"/>
    </row>
    <row r="374" spans="1:22" s="97" customFormat="1" ht="12.75" hidden="1" customHeight="1" x14ac:dyDescent="0.2">
      <c r="A374" s="113" t="s">
        <v>387</v>
      </c>
      <c r="B374" s="98"/>
      <c r="C374" s="98"/>
      <c r="D374" s="99"/>
      <c r="E374" s="99"/>
      <c r="F374" s="99"/>
      <c r="G374" s="99"/>
      <c r="H374" s="99"/>
      <c r="I374" s="102">
        <f>I106/SUM(I$103:I$104)*I$103</f>
        <v>33000</v>
      </c>
      <c r="J374" s="99"/>
      <c r="K374" s="99"/>
      <c r="L374" s="99"/>
      <c r="M374" s="99"/>
      <c r="N374" s="99"/>
      <c r="O374" s="102">
        <f>O106/SUM(O$103:O$104)*O$103</f>
        <v>33000</v>
      </c>
      <c r="P374" s="99"/>
      <c r="Q374" s="99"/>
      <c r="U374" s="92"/>
      <c r="V374" s="92"/>
    </row>
    <row r="375" spans="1:22" s="97" customFormat="1" ht="12.75" hidden="1" customHeight="1" x14ac:dyDescent="0.2">
      <c r="A375" s="113" t="s">
        <v>388</v>
      </c>
      <c r="B375" s="98"/>
      <c r="C375" s="98"/>
      <c r="D375" s="99"/>
      <c r="E375" s="99"/>
      <c r="F375" s="99"/>
      <c r="G375" s="99"/>
      <c r="H375" s="99"/>
      <c r="I375" s="102">
        <f>I107/SUM(I$103:I$104)*I$103</f>
        <v>33000</v>
      </c>
      <c r="J375" s="99"/>
      <c r="K375" s="99"/>
      <c r="L375" s="99"/>
      <c r="M375" s="99"/>
      <c r="N375" s="99"/>
      <c r="O375" s="102">
        <f>O107/SUM(O$103:O$104)*O$103</f>
        <v>33000</v>
      </c>
      <c r="P375" s="99"/>
      <c r="Q375" s="99"/>
      <c r="U375" s="92"/>
      <c r="V375" s="92"/>
    </row>
    <row r="376" spans="1:22" s="97" customFormat="1" ht="12.75" hidden="1" customHeight="1" x14ac:dyDescent="0.2">
      <c r="A376" s="113" t="s">
        <v>389</v>
      </c>
      <c r="B376" s="98"/>
      <c r="C376" s="98"/>
      <c r="D376" s="99"/>
      <c r="E376" s="99"/>
      <c r="F376" s="99"/>
      <c r="G376" s="99"/>
      <c r="H376" s="99"/>
      <c r="I376" s="102">
        <f>I108/SUM(I$103:I$104)*I$103</f>
        <v>0</v>
      </c>
      <c r="J376" s="99"/>
      <c r="K376" s="99"/>
      <c r="L376" s="99"/>
      <c r="M376" s="99"/>
      <c r="N376" s="99"/>
      <c r="O376" s="102">
        <f>O108/SUM(O$103:O$104)*O$103</f>
        <v>0</v>
      </c>
      <c r="P376" s="99"/>
      <c r="Q376" s="99"/>
      <c r="U376" s="92"/>
      <c r="V376" s="92"/>
    </row>
    <row r="377" spans="1:22" s="97" customFormat="1" ht="12.75" hidden="1" customHeight="1" x14ac:dyDescent="0.2">
      <c r="A377" s="113" t="s">
        <v>390</v>
      </c>
      <c r="B377" s="98"/>
      <c r="C377" s="98"/>
      <c r="D377" s="99"/>
      <c r="E377" s="99"/>
      <c r="F377" s="99"/>
      <c r="G377" s="99"/>
      <c r="H377" s="99"/>
      <c r="I377" s="102">
        <f>I109/SUM(I$103:I$104)*I$103</f>
        <v>0</v>
      </c>
      <c r="J377" s="99"/>
      <c r="K377" s="99"/>
      <c r="L377" s="99"/>
      <c r="M377" s="99"/>
      <c r="N377" s="99"/>
      <c r="O377" s="102">
        <f>O109/SUM(O$103:O$104)*O$103</f>
        <v>0</v>
      </c>
      <c r="P377" s="99"/>
      <c r="Q377" s="99"/>
      <c r="U377" s="92"/>
      <c r="V377" s="92"/>
    </row>
    <row r="378" spans="1:22" s="97" customFormat="1" ht="12.75" hidden="1" customHeight="1" x14ac:dyDescent="0.2">
      <c r="A378" s="113"/>
      <c r="B378" s="98"/>
      <c r="C378" s="98"/>
      <c r="D378" s="99"/>
      <c r="E378" s="99"/>
      <c r="F378" s="99"/>
      <c r="G378" s="99"/>
      <c r="H378" s="99"/>
      <c r="I378" s="99"/>
      <c r="J378" s="99"/>
      <c r="K378" s="99"/>
      <c r="L378" s="99"/>
      <c r="M378" s="99"/>
      <c r="N378" s="99"/>
      <c r="O378" s="102"/>
      <c r="P378" s="99"/>
      <c r="Q378" s="99"/>
      <c r="U378" s="92"/>
      <c r="V378" s="92"/>
    </row>
    <row r="379" spans="1:22" s="97" customFormat="1" ht="12.75" hidden="1" customHeight="1" x14ac:dyDescent="0.2">
      <c r="A379" s="113"/>
      <c r="B379" s="98"/>
      <c r="C379" s="98"/>
      <c r="D379" s="99"/>
      <c r="E379" s="99"/>
      <c r="F379" s="99"/>
      <c r="G379" s="99"/>
      <c r="H379" s="99"/>
      <c r="I379" s="99"/>
      <c r="J379" s="99"/>
      <c r="K379" s="99"/>
      <c r="L379" s="99"/>
      <c r="M379" s="99"/>
      <c r="N379" s="99"/>
      <c r="O379" s="102"/>
      <c r="P379" s="99"/>
      <c r="Q379" s="99"/>
      <c r="U379" s="92"/>
      <c r="V379" s="92"/>
    </row>
    <row r="380" spans="1:22" s="97" customFormat="1" ht="12.75" hidden="1" customHeight="1" x14ac:dyDescent="0.2">
      <c r="A380" s="113" t="s">
        <v>391</v>
      </c>
      <c r="B380" s="98"/>
      <c r="C380" s="98"/>
      <c r="D380" s="99"/>
      <c r="E380" s="99"/>
      <c r="F380" s="99"/>
      <c r="G380" s="99"/>
      <c r="H380" s="99"/>
      <c r="I380" s="102">
        <f>SUM(D204:H204)</f>
        <v>0</v>
      </c>
      <c r="J380" s="99"/>
      <c r="K380" s="99"/>
      <c r="L380" s="99"/>
      <c r="M380" s="99"/>
      <c r="N380" s="99"/>
      <c r="O380" s="102">
        <f>SUM(J204:N204)</f>
        <v>0</v>
      </c>
      <c r="P380" s="99"/>
      <c r="Q380" s="99"/>
      <c r="U380" s="92"/>
      <c r="V380" s="92"/>
    </row>
    <row r="381" spans="1:22" s="97" customFormat="1" ht="12.75" hidden="1" customHeight="1" x14ac:dyDescent="0.2">
      <c r="A381" s="113" t="s">
        <v>392</v>
      </c>
      <c r="B381" s="98"/>
      <c r="C381" s="98"/>
      <c r="D381" s="99"/>
      <c r="E381" s="99"/>
      <c r="F381" s="99"/>
      <c r="G381" s="99"/>
      <c r="H381" s="99"/>
      <c r="I381" s="102">
        <f>T111</f>
        <v>0</v>
      </c>
      <c r="J381" s="99"/>
      <c r="K381" s="99"/>
      <c r="L381" s="99"/>
      <c r="M381" s="99"/>
      <c r="N381" s="99"/>
      <c r="O381" s="102">
        <f>T113</f>
        <v>0</v>
      </c>
      <c r="P381" s="99"/>
      <c r="Q381" s="99"/>
      <c r="U381" s="92"/>
      <c r="V381" s="92"/>
    </row>
    <row r="382" spans="1:22" s="97" customFormat="1" ht="12.75" hidden="1" customHeight="1" x14ac:dyDescent="0.2">
      <c r="B382" s="98"/>
      <c r="C382" s="98"/>
      <c r="D382" s="99"/>
      <c r="E382" s="99"/>
      <c r="F382" s="99"/>
      <c r="G382" s="99"/>
      <c r="H382" s="99"/>
      <c r="I382" s="99"/>
      <c r="J382" s="99"/>
      <c r="K382" s="99"/>
      <c r="L382" s="99"/>
      <c r="M382" s="99"/>
      <c r="N382" s="99"/>
      <c r="O382" s="99"/>
      <c r="P382" s="99"/>
      <c r="Q382" s="99"/>
      <c r="U382" s="92"/>
      <c r="V382" s="92"/>
    </row>
    <row r="383" spans="1:22" s="97" customFormat="1" ht="12.75" hidden="1" customHeight="1" x14ac:dyDescent="0.2">
      <c r="B383" s="98"/>
      <c r="C383" s="98"/>
      <c r="D383" s="99"/>
      <c r="E383" s="99"/>
      <c r="F383" s="99"/>
      <c r="G383" s="99"/>
      <c r="H383" s="99"/>
      <c r="I383" s="99"/>
      <c r="J383" s="99"/>
      <c r="K383" s="99"/>
      <c r="L383" s="99"/>
      <c r="M383" s="99"/>
      <c r="N383" s="99"/>
      <c r="O383" s="99"/>
      <c r="P383" s="99"/>
      <c r="Q383" s="99"/>
      <c r="U383" s="92"/>
      <c r="V383" s="92"/>
    </row>
    <row r="384" spans="1:22" s="97" customFormat="1" ht="12.75" hidden="1" customHeight="1" x14ac:dyDescent="0.2">
      <c r="B384" s="98"/>
      <c r="C384" s="98"/>
      <c r="D384" s="99"/>
      <c r="E384" s="99"/>
      <c r="F384" s="99"/>
      <c r="G384" s="99"/>
      <c r="H384" s="99"/>
      <c r="I384" s="99"/>
      <c r="J384" s="99"/>
      <c r="K384" s="99"/>
      <c r="L384" s="99"/>
      <c r="M384" s="99"/>
      <c r="N384" s="99"/>
      <c r="O384" s="99"/>
      <c r="P384" s="99"/>
      <c r="Q384" s="99"/>
      <c r="U384" s="92"/>
      <c r="V384" s="92"/>
    </row>
    <row r="385" spans="1:22" s="97" customFormat="1" ht="12.75" hidden="1" customHeight="1" x14ac:dyDescent="0.2">
      <c r="B385" s="98"/>
      <c r="C385" s="98"/>
      <c r="D385" s="99"/>
      <c r="E385" s="99"/>
      <c r="F385" s="99"/>
      <c r="G385" s="99"/>
      <c r="H385" s="99"/>
      <c r="I385" s="99"/>
      <c r="J385" s="99"/>
      <c r="K385" s="99"/>
      <c r="L385" s="99"/>
      <c r="M385" s="99"/>
      <c r="N385" s="99"/>
      <c r="O385" s="99"/>
      <c r="P385" s="99"/>
      <c r="Q385" s="99"/>
      <c r="U385" s="92"/>
      <c r="V385" s="92"/>
    </row>
    <row r="386" spans="1:22" s="97" customFormat="1" ht="12.75" hidden="1" customHeight="1" x14ac:dyDescent="0.2">
      <c r="B386" s="98"/>
      <c r="C386" s="98"/>
      <c r="D386" s="99"/>
      <c r="E386" s="99"/>
      <c r="F386" s="99"/>
      <c r="G386" s="99"/>
      <c r="H386" s="99"/>
      <c r="I386" s="99"/>
      <c r="J386" s="99"/>
      <c r="K386" s="99"/>
      <c r="L386" s="99"/>
      <c r="M386" s="99"/>
      <c r="N386" s="99"/>
      <c r="O386" s="99"/>
      <c r="P386" s="99"/>
      <c r="Q386" s="99"/>
      <c r="U386" s="92"/>
      <c r="V386" s="92"/>
    </row>
    <row r="387" spans="1:22" s="97" customFormat="1" ht="12.75" hidden="1" customHeight="1" x14ac:dyDescent="0.2">
      <c r="B387" s="98"/>
      <c r="C387" s="98"/>
      <c r="D387" s="99"/>
      <c r="E387" s="99"/>
      <c r="F387" s="99"/>
      <c r="G387" s="99"/>
      <c r="H387" s="99"/>
      <c r="I387" s="99"/>
      <c r="J387" s="99"/>
      <c r="K387" s="99"/>
      <c r="L387" s="99"/>
      <c r="M387" s="99"/>
      <c r="N387" s="99"/>
      <c r="O387" s="99"/>
      <c r="P387" s="99"/>
      <c r="Q387" s="99"/>
      <c r="U387" s="92"/>
      <c r="V387" s="92"/>
    </row>
    <row r="388" spans="1:22" s="97" customFormat="1" ht="12.75" hidden="1" customHeight="1" x14ac:dyDescent="0.2">
      <c r="B388" s="98"/>
      <c r="C388" s="98"/>
      <c r="D388" s="99"/>
      <c r="E388" s="99"/>
      <c r="F388" s="99"/>
      <c r="G388" s="99"/>
      <c r="H388" s="99"/>
      <c r="I388" s="99"/>
      <c r="J388" s="99"/>
      <c r="K388" s="99"/>
      <c r="L388" s="99"/>
      <c r="M388" s="99"/>
      <c r="N388" s="99"/>
      <c r="O388" s="99"/>
      <c r="P388" s="99"/>
      <c r="Q388" s="99"/>
      <c r="U388" s="92"/>
      <c r="V388" s="92"/>
    </row>
    <row r="389" spans="1:22" s="97" customFormat="1" ht="12.75" hidden="1" customHeight="1" x14ac:dyDescent="0.2">
      <c r="B389" s="98"/>
      <c r="C389" s="98"/>
      <c r="D389" s="99"/>
      <c r="E389" s="99"/>
      <c r="F389" s="99"/>
      <c r="G389" s="99"/>
      <c r="H389" s="99"/>
      <c r="I389" s="99"/>
      <c r="J389" s="99"/>
      <c r="K389" s="99"/>
      <c r="L389" s="99"/>
      <c r="M389" s="99"/>
      <c r="N389" s="99"/>
      <c r="O389" s="99"/>
      <c r="P389" s="99"/>
      <c r="Q389" s="99"/>
      <c r="U389" s="92"/>
      <c r="V389" s="92"/>
    </row>
    <row r="390" spans="1:22" s="97" customFormat="1" ht="12.75" hidden="1" customHeight="1" x14ac:dyDescent="0.2">
      <c r="A390" s="97" t="s">
        <v>378</v>
      </c>
      <c r="B390" s="98"/>
      <c r="C390" s="98"/>
      <c r="D390" s="99">
        <f t="shared" ref="D390:O390" si="141">MAX(0,D264-D275-D288)</f>
        <v>359666.39583333349</v>
      </c>
      <c r="E390" s="99">
        <f t="shared" si="141"/>
        <v>359666.39583333349</v>
      </c>
      <c r="F390" s="99">
        <f t="shared" si="141"/>
        <v>359666.39583333349</v>
      </c>
      <c r="G390" s="99">
        <f t="shared" si="141"/>
        <v>359666.39583333349</v>
      </c>
      <c r="H390" s="99">
        <f t="shared" si="141"/>
        <v>359666.39583333349</v>
      </c>
      <c r="I390" s="99">
        <f t="shared" si="141"/>
        <v>359666.39583333349</v>
      </c>
      <c r="J390" s="99">
        <f t="shared" si="141"/>
        <v>359666.39583333349</v>
      </c>
      <c r="K390" s="99">
        <f t="shared" si="141"/>
        <v>359666.39583333349</v>
      </c>
      <c r="L390" s="99">
        <f t="shared" si="141"/>
        <v>359666.39583333349</v>
      </c>
      <c r="M390" s="99">
        <f t="shared" si="141"/>
        <v>359666.39583333349</v>
      </c>
      <c r="N390" s="99">
        <f t="shared" si="141"/>
        <v>359666.39583333349</v>
      </c>
      <c r="O390" s="99">
        <f t="shared" si="141"/>
        <v>359666.39583333349</v>
      </c>
      <c r="P390" s="99"/>
      <c r="Q390" s="99"/>
      <c r="U390" s="92"/>
      <c r="V390" s="92"/>
    </row>
    <row r="391" spans="1:22" s="97" customFormat="1" ht="12.75" hidden="1" customHeight="1" x14ac:dyDescent="0.2">
      <c r="A391" s="97" t="s">
        <v>379</v>
      </c>
      <c r="B391" s="98"/>
      <c r="C391" s="98"/>
      <c r="D391" s="99">
        <f>D292-C292</f>
        <v>34949.95937500002</v>
      </c>
      <c r="E391" s="99">
        <f t="shared" ref="E391:O391" si="142">E292-D292</f>
        <v>34949.95937500002</v>
      </c>
      <c r="F391" s="99">
        <f t="shared" si="142"/>
        <v>34949.959374999962</v>
      </c>
      <c r="G391" s="99">
        <f t="shared" si="142"/>
        <v>34949.959375000079</v>
      </c>
      <c r="H391" s="99">
        <f t="shared" si="142"/>
        <v>34949.959374999977</v>
      </c>
      <c r="I391" s="99">
        <f t="shared" si="142"/>
        <v>34949.959374999948</v>
      </c>
      <c r="J391" s="99">
        <f t="shared" si="142"/>
        <v>34949.959374999802</v>
      </c>
      <c r="K391" s="99">
        <f t="shared" si="142"/>
        <v>34949.959375000122</v>
      </c>
      <c r="L391" s="99">
        <f t="shared" si="142"/>
        <v>34949.959375000093</v>
      </c>
      <c r="M391" s="99">
        <f t="shared" si="142"/>
        <v>34949.959375000093</v>
      </c>
      <c r="N391" s="99">
        <f t="shared" si="142"/>
        <v>34949.959375000093</v>
      </c>
      <c r="O391" s="99">
        <f t="shared" si="142"/>
        <v>34949.959375000326</v>
      </c>
      <c r="P391" s="99"/>
      <c r="Q391" s="99"/>
      <c r="U391" s="92"/>
      <c r="V391" s="92"/>
    </row>
    <row r="392" spans="1:22" s="97" customFormat="1" ht="12.75" hidden="1" customHeight="1" x14ac:dyDescent="0.2">
      <c r="B392" s="98"/>
      <c r="C392" s="98"/>
      <c r="D392" s="99"/>
      <c r="E392" s="99"/>
      <c r="F392" s="99"/>
      <c r="G392" s="99"/>
      <c r="H392" s="99"/>
      <c r="I392" s="99"/>
      <c r="J392" s="99"/>
      <c r="K392" s="99"/>
      <c r="L392" s="99"/>
      <c r="M392" s="99"/>
      <c r="N392" s="99"/>
      <c r="O392" s="99"/>
      <c r="P392" s="99"/>
      <c r="Q392" s="99"/>
      <c r="U392" s="92"/>
      <c r="V392" s="92"/>
    </row>
    <row r="393" spans="1:22" s="97" customFormat="1" ht="12.75" hidden="1" customHeight="1" x14ac:dyDescent="0.2">
      <c r="B393" s="98"/>
      <c r="C393" s="98"/>
      <c r="D393" s="99"/>
      <c r="E393" s="99"/>
      <c r="F393" s="99"/>
      <c r="G393" s="99"/>
      <c r="H393" s="99"/>
      <c r="I393" s="99"/>
      <c r="J393" s="99"/>
      <c r="K393" s="99"/>
      <c r="L393" s="99"/>
      <c r="M393" s="99"/>
      <c r="N393" s="99"/>
      <c r="O393" s="99"/>
      <c r="P393" s="99"/>
      <c r="Q393" s="99"/>
      <c r="U393" s="92"/>
      <c r="V393" s="92"/>
    </row>
    <row r="394" spans="1:22" s="97" customFormat="1" ht="12.75" hidden="1" customHeight="1" x14ac:dyDescent="0.2">
      <c r="B394" s="98"/>
      <c r="C394" s="98"/>
      <c r="D394" s="99"/>
      <c r="E394" s="99"/>
      <c r="F394" s="99"/>
      <c r="G394" s="99"/>
      <c r="H394" s="99"/>
      <c r="I394" s="99"/>
      <c r="J394" s="99"/>
      <c r="K394" s="99"/>
      <c r="L394" s="99"/>
      <c r="M394" s="99"/>
      <c r="N394" s="99"/>
      <c r="O394" s="99"/>
      <c r="P394" s="99"/>
      <c r="Q394" s="99"/>
      <c r="U394" s="92"/>
      <c r="V394" s="92"/>
    </row>
    <row r="395" spans="1:22" s="97" customFormat="1" ht="12.75" hidden="1" customHeight="1" x14ac:dyDescent="0.2">
      <c r="A395" s="97" t="s">
        <v>382</v>
      </c>
      <c r="B395" s="98"/>
      <c r="C395" s="98"/>
      <c r="D395" s="99">
        <f t="shared" ref="D395:O395" si="143">MAX(0,D214-D249)</f>
        <v>1978166.6666666667</v>
      </c>
      <c r="E395" s="99">
        <f t="shared" si="143"/>
        <v>1978166.6666666667</v>
      </c>
      <c r="F395" s="99">
        <f t="shared" si="143"/>
        <v>1978166.6666666667</v>
      </c>
      <c r="G395" s="99">
        <f t="shared" si="143"/>
        <v>1978166.6666666667</v>
      </c>
      <c r="H395" s="99">
        <f t="shared" si="143"/>
        <v>1978166.6666666667</v>
      </c>
      <c r="I395" s="99">
        <f t="shared" si="143"/>
        <v>1978166.6666666667</v>
      </c>
      <c r="J395" s="99">
        <f t="shared" si="143"/>
        <v>1978166.6666666667</v>
      </c>
      <c r="K395" s="99">
        <f t="shared" si="143"/>
        <v>1978166.6666666667</v>
      </c>
      <c r="L395" s="99">
        <f t="shared" si="143"/>
        <v>1978166.6666666667</v>
      </c>
      <c r="M395" s="99">
        <f t="shared" si="143"/>
        <v>1978166.6666666667</v>
      </c>
      <c r="N395" s="99">
        <f t="shared" si="143"/>
        <v>1978166.6666666667</v>
      </c>
      <c r="O395" s="99">
        <f t="shared" si="143"/>
        <v>1978166.6666666667</v>
      </c>
      <c r="P395" s="99"/>
      <c r="Q395" s="99"/>
      <c r="U395" s="92"/>
      <c r="V395" s="92"/>
    </row>
    <row r="396" spans="1:22" s="97" customFormat="1" ht="12.75" hidden="1" customHeight="1" x14ac:dyDescent="0.2">
      <c r="A396" s="97" t="s">
        <v>383</v>
      </c>
      <c r="B396" s="98"/>
      <c r="C396" s="98"/>
      <c r="D396" s="99">
        <f>D395*5%</f>
        <v>98908.333333333343</v>
      </c>
      <c r="E396" s="99">
        <f t="shared" ref="E396:O396" si="144">E395*5%</f>
        <v>98908.333333333343</v>
      </c>
      <c r="F396" s="99">
        <f t="shared" si="144"/>
        <v>98908.333333333343</v>
      </c>
      <c r="G396" s="99">
        <f t="shared" si="144"/>
        <v>98908.333333333343</v>
      </c>
      <c r="H396" s="99">
        <f t="shared" si="144"/>
        <v>98908.333333333343</v>
      </c>
      <c r="I396" s="99">
        <f t="shared" si="144"/>
        <v>98908.333333333343</v>
      </c>
      <c r="J396" s="99">
        <f t="shared" si="144"/>
        <v>98908.333333333343</v>
      </c>
      <c r="K396" s="99">
        <f t="shared" si="144"/>
        <v>98908.333333333343</v>
      </c>
      <c r="L396" s="99">
        <f t="shared" si="144"/>
        <v>98908.333333333343</v>
      </c>
      <c r="M396" s="99">
        <f t="shared" si="144"/>
        <v>98908.333333333343</v>
      </c>
      <c r="N396" s="99">
        <f t="shared" si="144"/>
        <v>98908.333333333343</v>
      </c>
      <c r="O396" s="99">
        <f t="shared" si="144"/>
        <v>98908.333333333343</v>
      </c>
      <c r="P396" s="99"/>
      <c r="Q396" s="99"/>
      <c r="U396" s="92"/>
      <c r="V396" s="92"/>
    </row>
    <row r="397" spans="1:22" s="97" customFormat="1" ht="12.75" hidden="1" customHeight="1" x14ac:dyDescent="0.2">
      <c r="B397" s="98"/>
      <c r="C397" s="98"/>
      <c r="D397" s="99"/>
      <c r="E397" s="99"/>
      <c r="F397" s="99"/>
      <c r="G397" s="99"/>
      <c r="H397" s="99"/>
      <c r="I397" s="99"/>
      <c r="J397" s="99"/>
      <c r="K397" s="99"/>
      <c r="L397" s="99"/>
      <c r="M397" s="99"/>
      <c r="N397" s="99"/>
      <c r="O397" s="99"/>
      <c r="P397" s="99"/>
      <c r="Q397" s="99"/>
      <c r="U397" s="92"/>
      <c r="V397" s="92"/>
    </row>
    <row r="398" spans="1:22" s="97" customFormat="1" ht="12.75" hidden="1" customHeight="1" x14ac:dyDescent="0.2">
      <c r="B398" s="98"/>
      <c r="C398" s="98"/>
      <c r="D398" s="99"/>
      <c r="E398" s="99"/>
      <c r="F398" s="99"/>
      <c r="G398" s="99"/>
      <c r="H398" s="99"/>
      <c r="I398" s="99"/>
      <c r="J398" s="99"/>
      <c r="K398" s="99"/>
      <c r="L398" s="99"/>
      <c r="M398" s="99"/>
      <c r="N398" s="99"/>
      <c r="O398" s="99"/>
      <c r="P398" s="99"/>
      <c r="Q398" s="99"/>
      <c r="U398" s="92"/>
      <c r="V398" s="92"/>
    </row>
    <row r="399" spans="1:22" s="97" customFormat="1" ht="12.75" hidden="1" customHeight="1" x14ac:dyDescent="0.2">
      <c r="A399" s="115"/>
      <c r="B399" s="98"/>
      <c r="C399" s="98"/>
      <c r="D399" s="99"/>
      <c r="E399" s="99"/>
      <c r="F399" s="99"/>
      <c r="G399" s="99"/>
      <c r="H399" s="99"/>
      <c r="I399" s="99"/>
      <c r="J399" s="99"/>
      <c r="K399" s="99"/>
      <c r="L399" s="99"/>
      <c r="M399" s="99"/>
      <c r="N399" s="99"/>
      <c r="O399" s="99"/>
      <c r="P399" s="99"/>
      <c r="Q399" s="99"/>
      <c r="U399" s="92"/>
      <c r="V399" s="92"/>
    </row>
    <row r="400" spans="1:22" s="97" customFormat="1" ht="12.75" hidden="1" customHeight="1" x14ac:dyDescent="0.2">
      <c r="B400" s="98"/>
      <c r="C400" s="98"/>
      <c r="D400" s="99"/>
      <c r="E400" s="99"/>
      <c r="F400" s="99"/>
      <c r="G400" s="99"/>
      <c r="H400" s="99"/>
      <c r="I400" s="99"/>
      <c r="J400" s="99"/>
      <c r="K400" s="99"/>
      <c r="L400" s="99"/>
      <c r="M400" s="99"/>
      <c r="N400" s="99"/>
      <c r="O400" s="99"/>
      <c r="P400" s="99"/>
      <c r="Q400" s="99"/>
      <c r="U400" s="92"/>
      <c r="V400" s="92"/>
    </row>
    <row r="401" spans="1:22" s="97" customFormat="1" ht="12.75" hidden="1" customHeight="1" x14ac:dyDescent="0.2">
      <c r="A401" s="100"/>
      <c r="B401" s="101"/>
      <c r="C401" s="98"/>
      <c r="D401" s="102"/>
      <c r="E401" s="102"/>
      <c r="F401" s="102"/>
      <c r="G401" s="102"/>
      <c r="H401" s="102"/>
      <c r="I401" s="102"/>
      <c r="J401" s="102"/>
      <c r="K401" s="102"/>
      <c r="L401" s="102"/>
      <c r="M401" s="102"/>
      <c r="N401" s="102"/>
      <c r="O401" s="102"/>
      <c r="P401" s="99"/>
      <c r="Q401" s="99"/>
      <c r="U401" s="92"/>
      <c r="V401" s="92"/>
    </row>
    <row r="402" spans="1:22" s="97" customFormat="1" ht="12.75" hidden="1" customHeight="1" x14ac:dyDescent="0.2">
      <c r="B402" s="98"/>
      <c r="C402" s="98"/>
      <c r="D402" s="99"/>
      <c r="E402" s="99"/>
      <c r="F402" s="99"/>
      <c r="G402" s="99"/>
      <c r="H402" s="99"/>
      <c r="I402" s="99"/>
      <c r="J402" s="99"/>
      <c r="K402" s="99"/>
      <c r="L402" s="99"/>
      <c r="M402" s="99"/>
      <c r="N402" s="99"/>
      <c r="O402" s="99"/>
      <c r="P402" s="99"/>
      <c r="Q402" s="99"/>
      <c r="U402" s="92"/>
      <c r="V402" s="92"/>
    </row>
    <row r="403" spans="1:22" s="97" customFormat="1" ht="12.75" hidden="1" customHeight="1" x14ac:dyDescent="0.2">
      <c r="A403" s="100"/>
      <c r="B403" s="101"/>
      <c r="C403" s="98"/>
      <c r="D403" s="102"/>
      <c r="E403" s="102"/>
      <c r="F403" s="102"/>
      <c r="G403" s="102"/>
      <c r="H403" s="102"/>
      <c r="I403" s="102"/>
      <c r="J403" s="102"/>
      <c r="K403" s="102"/>
      <c r="L403" s="102"/>
      <c r="M403" s="102"/>
      <c r="N403" s="102"/>
      <c r="O403" s="102"/>
      <c r="P403" s="99"/>
      <c r="Q403" s="99"/>
      <c r="U403" s="92"/>
      <c r="V403" s="92"/>
    </row>
    <row r="404" spans="1:22" s="97" customFormat="1" ht="12.75" hidden="1" customHeight="1" x14ac:dyDescent="0.2">
      <c r="B404" s="98"/>
      <c r="C404" s="98"/>
      <c r="D404" s="99"/>
      <c r="E404" s="99"/>
      <c r="F404" s="99"/>
      <c r="G404" s="99"/>
      <c r="H404" s="99"/>
      <c r="I404" s="99"/>
      <c r="J404" s="99"/>
      <c r="K404" s="99"/>
      <c r="L404" s="99"/>
      <c r="M404" s="99"/>
      <c r="N404" s="99"/>
      <c r="O404" s="99"/>
      <c r="P404" s="99"/>
      <c r="Q404" s="99"/>
      <c r="U404" s="92"/>
      <c r="V404" s="92"/>
    </row>
    <row r="405" spans="1:22" s="97" customFormat="1" ht="12.75" hidden="1" customHeight="1" x14ac:dyDescent="0.2">
      <c r="A405" s="100"/>
      <c r="B405" s="101"/>
      <c r="C405" s="98"/>
      <c r="D405" s="102"/>
      <c r="E405" s="102"/>
      <c r="F405" s="102"/>
      <c r="G405" s="102"/>
      <c r="H405" s="102"/>
      <c r="I405" s="102"/>
      <c r="J405" s="102"/>
      <c r="K405" s="102"/>
      <c r="L405" s="102"/>
      <c r="M405" s="102"/>
      <c r="N405" s="102"/>
      <c r="O405" s="102"/>
      <c r="P405" s="99"/>
      <c r="Q405" s="99"/>
      <c r="U405" s="92"/>
      <c r="V405" s="92"/>
    </row>
    <row r="406" spans="1:22" s="97" customFormat="1" ht="12.75" hidden="1" customHeight="1" x14ac:dyDescent="0.2">
      <c r="B406" s="98"/>
      <c r="C406" s="98"/>
      <c r="D406" s="99"/>
      <c r="E406" s="99"/>
      <c r="F406" s="99"/>
      <c r="G406" s="99"/>
      <c r="H406" s="99"/>
      <c r="I406" s="99"/>
      <c r="J406" s="99"/>
      <c r="K406" s="99"/>
      <c r="L406" s="99"/>
      <c r="M406" s="99"/>
      <c r="N406" s="99"/>
      <c r="O406" s="99"/>
      <c r="P406" s="99"/>
      <c r="Q406" s="99"/>
      <c r="U406" s="92"/>
      <c r="V406" s="92"/>
    </row>
    <row r="407" spans="1:22" s="97" customFormat="1" ht="12.75" hidden="1" customHeight="1" x14ac:dyDescent="0.2">
      <c r="A407" s="100"/>
      <c r="B407" s="101"/>
      <c r="C407" s="98"/>
      <c r="D407" s="102"/>
      <c r="E407" s="102"/>
      <c r="F407" s="102"/>
      <c r="G407" s="102"/>
      <c r="H407" s="102"/>
      <c r="I407" s="102"/>
      <c r="J407" s="102"/>
      <c r="K407" s="102"/>
      <c r="L407" s="102"/>
      <c r="M407" s="102"/>
      <c r="N407" s="102"/>
      <c r="O407" s="102"/>
      <c r="P407" s="99"/>
      <c r="Q407" s="99"/>
      <c r="U407" s="92"/>
      <c r="V407" s="92"/>
    </row>
    <row r="408" spans="1:22" s="97" customFormat="1" ht="12.75" hidden="1" customHeight="1" x14ac:dyDescent="0.2">
      <c r="B408" s="98"/>
      <c r="C408" s="98"/>
      <c r="D408" s="99"/>
      <c r="E408" s="99"/>
      <c r="F408" s="99"/>
      <c r="G408" s="99"/>
      <c r="H408" s="99"/>
      <c r="I408" s="99"/>
      <c r="J408" s="99"/>
      <c r="K408" s="99"/>
      <c r="L408" s="99"/>
      <c r="M408" s="99"/>
      <c r="N408" s="99"/>
      <c r="O408" s="99"/>
      <c r="P408" s="99"/>
      <c r="Q408" s="99"/>
      <c r="U408" s="92"/>
      <c r="V408" s="92"/>
    </row>
    <row r="409" spans="1:22" s="97" customFormat="1" ht="12.75" hidden="1" customHeight="1" x14ac:dyDescent="0.2">
      <c r="A409" s="100"/>
      <c r="B409" s="101"/>
      <c r="C409" s="98"/>
      <c r="D409" s="102"/>
      <c r="E409" s="102"/>
      <c r="F409" s="102"/>
      <c r="G409" s="102"/>
      <c r="H409" s="102"/>
      <c r="I409" s="102"/>
      <c r="J409" s="102"/>
      <c r="K409" s="102"/>
      <c r="L409" s="102"/>
      <c r="M409" s="102"/>
      <c r="N409" s="102"/>
      <c r="O409" s="102"/>
      <c r="P409" s="99"/>
      <c r="Q409" s="99"/>
      <c r="U409" s="92"/>
      <c r="V409" s="92"/>
    </row>
    <row r="410" spans="1:22" s="97" customFormat="1" ht="12.75" hidden="1" customHeight="1" x14ac:dyDescent="0.2">
      <c r="B410" s="98"/>
      <c r="C410" s="98"/>
      <c r="D410" s="99"/>
      <c r="E410" s="99"/>
      <c r="F410" s="99"/>
      <c r="G410" s="99"/>
      <c r="H410" s="99"/>
      <c r="I410" s="99"/>
      <c r="J410" s="99"/>
      <c r="K410" s="99"/>
      <c r="L410" s="99"/>
      <c r="M410" s="99"/>
      <c r="N410" s="99"/>
      <c r="O410" s="99"/>
      <c r="P410" s="99"/>
      <c r="Q410" s="99"/>
      <c r="U410" s="92"/>
      <c r="V410" s="92"/>
    </row>
    <row r="411" spans="1:22" s="97" customFormat="1" ht="12.75" hidden="1" customHeight="1" x14ac:dyDescent="0.2">
      <c r="B411" s="98"/>
      <c r="C411" s="98"/>
      <c r="D411" s="99"/>
      <c r="E411" s="99"/>
      <c r="F411" s="99"/>
      <c r="G411" s="99"/>
      <c r="H411" s="99"/>
      <c r="I411" s="99"/>
      <c r="J411" s="99"/>
      <c r="K411" s="99"/>
      <c r="L411" s="99"/>
      <c r="M411" s="99"/>
      <c r="N411" s="99"/>
      <c r="O411" s="99"/>
      <c r="P411" s="99"/>
      <c r="Q411" s="99"/>
      <c r="U411" s="92"/>
      <c r="V411" s="92"/>
    </row>
    <row r="412" spans="1:22" s="97" customFormat="1" ht="12.75" hidden="1" customHeight="1" x14ac:dyDescent="0.2">
      <c r="B412" s="98"/>
      <c r="C412" s="98"/>
      <c r="D412" s="99"/>
      <c r="E412" s="99"/>
      <c r="F412" s="99"/>
      <c r="G412" s="99"/>
      <c r="H412" s="99"/>
      <c r="I412" s="99"/>
      <c r="J412" s="99"/>
      <c r="K412" s="99"/>
      <c r="L412" s="99"/>
      <c r="M412" s="99"/>
      <c r="N412" s="99"/>
      <c r="O412" s="99"/>
      <c r="P412" s="99"/>
      <c r="Q412" s="99"/>
      <c r="U412" s="92"/>
      <c r="V412" s="92"/>
    </row>
    <row r="413" spans="1:22" s="97" customFormat="1" ht="12.75" hidden="1" customHeight="1" x14ac:dyDescent="0.2">
      <c r="B413" s="98"/>
      <c r="C413" s="98"/>
      <c r="D413" s="99"/>
      <c r="E413" s="99"/>
      <c r="F413" s="99"/>
      <c r="G413" s="99"/>
      <c r="H413" s="99"/>
      <c r="I413" s="99"/>
      <c r="J413" s="99"/>
      <c r="K413" s="99"/>
      <c r="L413" s="99"/>
      <c r="M413" s="99"/>
      <c r="N413" s="99"/>
      <c r="O413" s="99"/>
      <c r="P413" s="99"/>
      <c r="Q413" s="99"/>
      <c r="U413" s="92"/>
      <c r="V413" s="92"/>
    </row>
    <row r="414" spans="1:22" s="97" customFormat="1" ht="12.75" hidden="1" customHeight="1" x14ac:dyDescent="0.2">
      <c r="B414" s="98"/>
      <c r="C414" s="98"/>
      <c r="D414" s="99"/>
      <c r="E414" s="99"/>
      <c r="F414" s="99"/>
      <c r="G414" s="99"/>
      <c r="H414" s="99"/>
      <c r="I414" s="99"/>
      <c r="J414" s="99"/>
      <c r="K414" s="99"/>
      <c r="L414" s="99"/>
      <c r="M414" s="99"/>
      <c r="N414" s="99"/>
      <c r="O414" s="99"/>
      <c r="P414" s="99"/>
      <c r="Q414" s="99"/>
      <c r="U414" s="92"/>
      <c r="V414" s="92"/>
    </row>
    <row r="415" spans="1:22" s="97" customFormat="1" ht="12.75" hidden="1" customHeight="1" x14ac:dyDescent="0.2">
      <c r="B415" s="98"/>
      <c r="C415" s="98"/>
      <c r="D415" s="99"/>
      <c r="E415" s="99"/>
      <c r="F415" s="99"/>
      <c r="G415" s="99"/>
      <c r="H415" s="99"/>
      <c r="I415" s="99"/>
      <c r="J415" s="99"/>
      <c r="K415" s="99"/>
      <c r="L415" s="99"/>
      <c r="M415" s="99"/>
      <c r="N415" s="99"/>
      <c r="O415" s="99"/>
      <c r="P415" s="99"/>
      <c r="Q415" s="99"/>
      <c r="U415" s="92"/>
      <c r="V415" s="92"/>
    </row>
    <row r="416" spans="1:22" s="97" customFormat="1" ht="12.75" hidden="1" customHeight="1" x14ac:dyDescent="0.2">
      <c r="B416" s="98"/>
      <c r="C416" s="98"/>
      <c r="D416" s="99"/>
      <c r="E416" s="99"/>
      <c r="F416" s="99"/>
      <c r="G416" s="99"/>
      <c r="H416" s="99"/>
      <c r="I416" s="99"/>
      <c r="J416" s="99"/>
      <c r="K416" s="99"/>
      <c r="L416" s="99"/>
      <c r="M416" s="99"/>
      <c r="N416" s="99"/>
      <c r="O416" s="99"/>
      <c r="P416" s="99"/>
      <c r="Q416" s="99"/>
      <c r="U416" s="92"/>
      <c r="V416" s="92"/>
    </row>
    <row r="417" spans="2:22" s="97" customFormat="1" ht="12.75" hidden="1" customHeight="1" x14ac:dyDescent="0.2">
      <c r="B417" s="98"/>
      <c r="C417" s="98"/>
      <c r="D417" s="99"/>
      <c r="E417" s="99"/>
      <c r="F417" s="99"/>
      <c r="G417" s="99"/>
      <c r="H417" s="99"/>
      <c r="I417" s="99"/>
      <c r="J417" s="99"/>
      <c r="K417" s="99"/>
      <c r="L417" s="99"/>
      <c r="M417" s="99"/>
      <c r="N417" s="99"/>
      <c r="O417" s="99"/>
      <c r="P417" s="99"/>
      <c r="Q417" s="99"/>
      <c r="U417" s="92"/>
      <c r="V417" s="92"/>
    </row>
    <row r="418" spans="2:22" s="97" customFormat="1" ht="12.75" hidden="1" customHeight="1" x14ac:dyDescent="0.2">
      <c r="B418" s="98"/>
      <c r="C418" s="98"/>
      <c r="D418" s="99"/>
      <c r="E418" s="99"/>
      <c r="F418" s="99"/>
      <c r="G418" s="99"/>
      <c r="H418" s="99"/>
      <c r="I418" s="99"/>
      <c r="J418" s="99"/>
      <c r="K418" s="99"/>
      <c r="L418" s="99"/>
      <c r="M418" s="99"/>
      <c r="N418" s="99"/>
      <c r="O418" s="99"/>
      <c r="P418" s="99"/>
      <c r="Q418" s="99"/>
      <c r="U418" s="92"/>
      <c r="V418" s="92"/>
    </row>
    <row r="419" spans="2:22" s="97" customFormat="1" ht="12.75" hidden="1" customHeight="1" x14ac:dyDescent="0.2">
      <c r="B419" s="98"/>
      <c r="C419" s="98"/>
      <c r="D419" s="99"/>
      <c r="E419" s="99"/>
      <c r="F419" s="99"/>
      <c r="G419" s="99"/>
      <c r="H419" s="99"/>
      <c r="I419" s="99"/>
      <c r="J419" s="99"/>
      <c r="K419" s="99"/>
      <c r="L419" s="99"/>
      <c r="M419" s="99"/>
      <c r="N419" s="99"/>
      <c r="O419" s="99"/>
      <c r="P419" s="99"/>
      <c r="Q419" s="99"/>
      <c r="U419" s="92"/>
      <c r="V419" s="92"/>
    </row>
    <row r="420" spans="2:22" s="97" customFormat="1" ht="12.75" hidden="1" customHeight="1" x14ac:dyDescent="0.2">
      <c r="B420" s="98"/>
      <c r="C420" s="98"/>
      <c r="D420" s="99"/>
      <c r="E420" s="99"/>
      <c r="F420" s="99"/>
      <c r="G420" s="99"/>
      <c r="H420" s="99"/>
      <c r="I420" s="99"/>
      <c r="J420" s="99"/>
      <c r="K420" s="99"/>
      <c r="L420" s="99"/>
      <c r="M420" s="99"/>
      <c r="N420" s="99"/>
      <c r="O420" s="99"/>
      <c r="P420" s="99"/>
      <c r="Q420" s="99"/>
      <c r="U420" s="92"/>
      <c r="V420" s="92"/>
    </row>
    <row r="421" spans="2:22" s="97" customFormat="1" ht="12.75" hidden="1" customHeight="1" x14ac:dyDescent="0.2">
      <c r="B421" s="98"/>
      <c r="C421" s="98"/>
      <c r="D421" s="99"/>
      <c r="E421" s="99"/>
      <c r="F421" s="99"/>
      <c r="G421" s="99"/>
      <c r="H421" s="99"/>
      <c r="I421" s="99"/>
      <c r="J421" s="99"/>
      <c r="K421" s="99"/>
      <c r="L421" s="99"/>
      <c r="M421" s="99"/>
      <c r="N421" s="99"/>
      <c r="O421" s="99"/>
      <c r="P421" s="99"/>
      <c r="Q421" s="99"/>
      <c r="U421" s="92"/>
      <c r="V421" s="92"/>
    </row>
    <row r="422" spans="2:22" s="97" customFormat="1" ht="12.75" hidden="1" customHeight="1" x14ac:dyDescent="0.2">
      <c r="B422" s="98"/>
      <c r="C422" s="98"/>
      <c r="D422" s="99"/>
      <c r="E422" s="99"/>
      <c r="F422" s="99"/>
      <c r="G422" s="99"/>
      <c r="H422" s="99"/>
      <c r="I422" s="99"/>
      <c r="J422" s="99"/>
      <c r="K422" s="99"/>
      <c r="L422" s="99"/>
      <c r="M422" s="99"/>
      <c r="N422" s="99"/>
      <c r="O422" s="99"/>
      <c r="P422" s="99"/>
      <c r="Q422" s="99"/>
      <c r="U422" s="92"/>
      <c r="V422" s="92"/>
    </row>
    <row r="423" spans="2:22" s="97" customFormat="1" ht="12.75" hidden="1" customHeight="1" x14ac:dyDescent="0.2">
      <c r="B423" s="98"/>
      <c r="C423" s="98"/>
      <c r="D423" s="99"/>
      <c r="E423" s="99"/>
      <c r="F423" s="99"/>
      <c r="G423" s="99"/>
      <c r="H423" s="99"/>
      <c r="I423" s="99"/>
      <c r="J423" s="99"/>
      <c r="K423" s="99"/>
      <c r="L423" s="99"/>
      <c r="M423" s="99"/>
      <c r="N423" s="99"/>
      <c r="O423" s="99"/>
      <c r="P423" s="99"/>
      <c r="Q423" s="99"/>
      <c r="U423" s="92"/>
      <c r="V423" s="92"/>
    </row>
    <row r="424" spans="2:22" s="97" customFormat="1" ht="12.75" hidden="1" customHeight="1" x14ac:dyDescent="0.2">
      <c r="B424" s="98"/>
      <c r="C424" s="98"/>
      <c r="D424" s="99"/>
      <c r="E424" s="99"/>
      <c r="F424" s="99"/>
      <c r="G424" s="99"/>
      <c r="H424" s="99"/>
      <c r="I424" s="99"/>
      <c r="J424" s="99"/>
      <c r="K424" s="99"/>
      <c r="L424" s="99"/>
      <c r="M424" s="99"/>
      <c r="N424" s="99"/>
      <c r="O424" s="99"/>
      <c r="P424" s="99"/>
      <c r="Q424" s="99"/>
      <c r="U424" s="92"/>
      <c r="V424" s="92"/>
    </row>
    <row r="425" spans="2:22" s="97" customFormat="1" ht="12.75" hidden="1" customHeight="1" x14ac:dyDescent="0.2">
      <c r="B425" s="98"/>
      <c r="C425" s="98"/>
      <c r="D425" s="99"/>
      <c r="E425" s="99"/>
      <c r="F425" s="99"/>
      <c r="G425" s="99"/>
      <c r="H425" s="99"/>
      <c r="I425" s="99"/>
      <c r="J425" s="99"/>
      <c r="K425" s="99"/>
      <c r="L425" s="99"/>
      <c r="M425" s="99"/>
      <c r="N425" s="99"/>
      <c r="O425" s="99"/>
      <c r="P425" s="99"/>
      <c r="Q425" s="99"/>
      <c r="U425" s="92"/>
      <c r="V425" s="92"/>
    </row>
    <row r="426" spans="2:22" s="97" customFormat="1" ht="12.75" hidden="1" customHeight="1" x14ac:dyDescent="0.2">
      <c r="B426" s="98"/>
      <c r="C426" s="98"/>
      <c r="D426" s="99"/>
      <c r="E426" s="99"/>
      <c r="F426" s="99"/>
      <c r="G426" s="99"/>
      <c r="H426" s="99"/>
      <c r="I426" s="99"/>
      <c r="J426" s="99"/>
      <c r="K426" s="99"/>
      <c r="L426" s="99"/>
      <c r="M426" s="99"/>
      <c r="N426" s="99"/>
      <c r="O426" s="99"/>
      <c r="P426" s="99"/>
      <c r="Q426" s="99"/>
      <c r="U426" s="92"/>
      <c r="V426" s="92"/>
    </row>
    <row r="427" spans="2:22" s="97" customFormat="1" ht="12.75" hidden="1" customHeight="1" x14ac:dyDescent="0.2">
      <c r="B427" s="98"/>
      <c r="C427" s="98"/>
      <c r="D427" s="99"/>
      <c r="E427" s="99"/>
      <c r="F427" s="99"/>
      <c r="G427" s="99"/>
      <c r="H427" s="99"/>
      <c r="I427" s="99"/>
      <c r="J427" s="99"/>
      <c r="K427" s="99"/>
      <c r="L427" s="99"/>
      <c r="M427" s="99"/>
      <c r="N427" s="99"/>
      <c r="O427" s="99"/>
      <c r="P427" s="99"/>
      <c r="Q427" s="99"/>
      <c r="U427" s="92"/>
      <c r="V427" s="92"/>
    </row>
    <row r="428" spans="2:22" s="97" customFormat="1" ht="12.75" hidden="1" customHeight="1" x14ac:dyDescent="0.2">
      <c r="B428" s="98"/>
      <c r="C428" s="98"/>
      <c r="D428" s="99"/>
      <c r="E428" s="99"/>
      <c r="F428" s="99"/>
      <c r="G428" s="99"/>
      <c r="H428" s="99"/>
      <c r="I428" s="99"/>
      <c r="J428" s="99"/>
      <c r="K428" s="99"/>
      <c r="L428" s="99"/>
      <c r="M428" s="99"/>
      <c r="N428" s="99"/>
      <c r="O428" s="99"/>
      <c r="P428" s="99"/>
      <c r="Q428" s="99"/>
      <c r="U428" s="92"/>
      <c r="V428" s="92"/>
    </row>
    <row r="429" spans="2:22" s="97" customFormat="1" ht="12.75" hidden="1" customHeight="1" x14ac:dyDescent="0.2">
      <c r="B429" s="98"/>
      <c r="C429" s="98"/>
      <c r="D429" s="99"/>
      <c r="E429" s="99"/>
      <c r="F429" s="99"/>
      <c r="G429" s="99"/>
      <c r="H429" s="99"/>
      <c r="I429" s="99"/>
      <c r="J429" s="99"/>
      <c r="K429" s="99"/>
      <c r="L429" s="99"/>
      <c r="M429" s="99"/>
      <c r="N429" s="99"/>
      <c r="O429" s="99"/>
      <c r="P429" s="99"/>
      <c r="Q429" s="99"/>
      <c r="U429" s="92"/>
      <c r="V429" s="92"/>
    </row>
    <row r="430" spans="2:22" ht="12.75" hidden="1" customHeight="1" x14ac:dyDescent="0.2">
      <c r="D430" s="111"/>
      <c r="E430" s="111"/>
      <c r="F430" s="111"/>
      <c r="G430" s="111"/>
      <c r="H430" s="111"/>
      <c r="I430" s="111"/>
      <c r="J430" s="111"/>
      <c r="K430" s="111"/>
      <c r="L430" s="111"/>
      <c r="M430" s="111"/>
      <c r="N430" s="111"/>
      <c r="O430" s="111"/>
      <c r="P430" s="111"/>
      <c r="Q430" s="111"/>
    </row>
    <row r="431" spans="2:22" ht="12.75" hidden="1" customHeight="1" x14ac:dyDescent="0.2">
      <c r="D431" s="111"/>
      <c r="E431" s="111"/>
      <c r="F431" s="111"/>
      <c r="G431" s="111"/>
      <c r="H431" s="111"/>
      <c r="I431" s="111"/>
      <c r="J431" s="111"/>
      <c r="K431" s="111"/>
      <c r="L431" s="111"/>
      <c r="M431" s="111"/>
      <c r="N431" s="111"/>
      <c r="O431" s="111"/>
      <c r="P431" s="111"/>
      <c r="Q431" s="111"/>
    </row>
    <row r="432" spans="2:22" ht="12.75" hidden="1" customHeight="1" x14ac:dyDescent="0.2">
      <c r="D432" s="111"/>
      <c r="E432" s="111"/>
      <c r="F432" s="111"/>
      <c r="G432" s="111"/>
      <c r="H432" s="111"/>
      <c r="I432" s="111"/>
      <c r="J432" s="111"/>
      <c r="K432" s="111"/>
      <c r="L432" s="111"/>
      <c r="M432" s="111"/>
      <c r="N432" s="111"/>
      <c r="O432" s="111"/>
      <c r="P432" s="111"/>
      <c r="Q432" s="111"/>
    </row>
    <row r="433" spans="4:17" ht="12.75" hidden="1" customHeight="1" x14ac:dyDescent="0.2">
      <c r="D433" s="111"/>
      <c r="E433" s="111"/>
      <c r="F433" s="111"/>
      <c r="G433" s="111"/>
      <c r="H433" s="111"/>
      <c r="I433" s="111"/>
      <c r="J433" s="111"/>
      <c r="K433" s="111"/>
      <c r="L433" s="111"/>
      <c r="M433" s="111"/>
      <c r="N433" s="111"/>
      <c r="O433" s="111"/>
      <c r="P433" s="111"/>
      <c r="Q433" s="111"/>
    </row>
    <row r="434" spans="4:17" ht="12.75" hidden="1" customHeight="1" x14ac:dyDescent="0.2">
      <c r="D434" s="111"/>
      <c r="E434" s="111"/>
      <c r="F434" s="111"/>
      <c r="G434" s="111"/>
      <c r="H434" s="111"/>
      <c r="I434" s="111"/>
      <c r="J434" s="111"/>
      <c r="K434" s="111"/>
      <c r="L434" s="111"/>
      <c r="M434" s="111"/>
      <c r="N434" s="111"/>
      <c r="O434" s="111"/>
      <c r="P434" s="111"/>
      <c r="Q434" s="111"/>
    </row>
    <row r="435" spans="4:17" ht="12.75" hidden="1" customHeight="1" x14ac:dyDescent="0.2">
      <c r="D435" s="111"/>
      <c r="E435" s="111"/>
      <c r="F435" s="111"/>
      <c r="G435" s="111"/>
      <c r="H435" s="111"/>
      <c r="I435" s="111"/>
      <c r="J435" s="111"/>
      <c r="K435" s="111"/>
      <c r="L435" s="111"/>
      <c r="M435" s="111"/>
      <c r="N435" s="111"/>
      <c r="O435" s="111"/>
      <c r="P435" s="111"/>
      <c r="Q435" s="111"/>
    </row>
    <row r="436" spans="4:17" ht="12.75" hidden="1" customHeight="1" x14ac:dyDescent="0.2">
      <c r="D436" s="111"/>
      <c r="E436" s="111"/>
      <c r="F436" s="111"/>
      <c r="G436" s="111"/>
      <c r="H436" s="111"/>
      <c r="I436" s="111"/>
      <c r="J436" s="111"/>
      <c r="K436" s="111"/>
      <c r="L436" s="111"/>
      <c r="M436" s="111"/>
      <c r="N436" s="111"/>
      <c r="O436" s="111"/>
      <c r="P436" s="111"/>
      <c r="Q436" s="111"/>
    </row>
    <row r="437" spans="4:17" ht="12.75" hidden="1" customHeight="1" x14ac:dyDescent="0.2">
      <c r="D437" s="111"/>
      <c r="E437" s="111"/>
      <c r="F437" s="111"/>
      <c r="G437" s="111"/>
      <c r="H437" s="111"/>
      <c r="I437" s="111"/>
      <c r="J437" s="111"/>
      <c r="K437" s="111"/>
      <c r="L437" s="111"/>
      <c r="M437" s="111"/>
      <c r="N437" s="111"/>
      <c r="O437" s="111"/>
      <c r="P437" s="111"/>
      <c r="Q437" s="111"/>
    </row>
    <row r="438" spans="4:17" ht="12.75" hidden="1" customHeight="1" x14ac:dyDescent="0.2">
      <c r="D438" s="111"/>
      <c r="E438" s="111"/>
      <c r="F438" s="111"/>
      <c r="G438" s="111"/>
      <c r="H438" s="111"/>
      <c r="I438" s="111"/>
      <c r="J438" s="111"/>
      <c r="K438" s="111"/>
      <c r="L438" s="111"/>
      <c r="M438" s="111"/>
      <c r="N438" s="111"/>
      <c r="O438" s="111"/>
      <c r="P438" s="111"/>
      <c r="Q438" s="111"/>
    </row>
    <row r="439" spans="4:17" ht="12.75" hidden="1" customHeight="1" x14ac:dyDescent="0.2">
      <c r="D439" s="111"/>
      <c r="E439" s="111"/>
      <c r="F439" s="111"/>
      <c r="G439" s="111"/>
      <c r="H439" s="111"/>
      <c r="I439" s="111"/>
      <c r="J439" s="111"/>
      <c r="K439" s="111"/>
      <c r="L439" s="111"/>
      <c r="M439" s="111"/>
      <c r="N439" s="111"/>
      <c r="O439" s="111"/>
      <c r="P439" s="111"/>
      <c r="Q439" s="111"/>
    </row>
    <row r="440" spans="4:17" ht="12.75" hidden="1" customHeight="1" x14ac:dyDescent="0.2">
      <c r="D440" s="111"/>
      <c r="E440" s="111"/>
      <c r="F440" s="111"/>
      <c r="G440" s="111"/>
      <c r="H440" s="111"/>
      <c r="I440" s="111"/>
      <c r="J440" s="111"/>
      <c r="K440" s="111"/>
      <c r="L440" s="111"/>
      <c r="M440" s="111"/>
      <c r="N440" s="111"/>
      <c r="O440" s="111"/>
      <c r="P440" s="111"/>
      <c r="Q440" s="111"/>
    </row>
    <row r="441" spans="4:17" ht="12.75" hidden="1" customHeight="1" x14ac:dyDescent="0.2">
      <c r="D441" s="111"/>
      <c r="E441" s="111"/>
      <c r="F441" s="111"/>
      <c r="G441" s="111"/>
      <c r="H441" s="111"/>
      <c r="I441" s="111"/>
      <c r="J441" s="111"/>
      <c r="K441" s="111"/>
      <c r="L441" s="111"/>
      <c r="M441" s="111"/>
      <c r="N441" s="111"/>
      <c r="O441" s="111"/>
      <c r="P441" s="111"/>
      <c r="Q441" s="111"/>
    </row>
    <row r="442" spans="4:17" ht="12.75" hidden="1" customHeight="1" x14ac:dyDescent="0.2"/>
    <row r="443" spans="4:17" ht="12.75" hidden="1" customHeight="1" x14ac:dyDescent="0.2"/>
    <row r="444" spans="4:17" ht="12.75" hidden="1" customHeight="1" x14ac:dyDescent="0.2"/>
    <row r="445" spans="4:17" ht="12.75" hidden="1" customHeight="1" x14ac:dyDescent="0.2"/>
    <row r="446" spans="4:17" ht="12.75" hidden="1" customHeight="1" x14ac:dyDescent="0.2"/>
    <row r="447" spans="4:17" ht="12.75" hidden="1" customHeight="1" x14ac:dyDescent="0.2"/>
    <row r="448" spans="4:17" ht="12.75" hidden="1" customHeight="1" x14ac:dyDescent="0.2"/>
    <row r="449" spans="1:22" ht="12.75" hidden="1" customHeight="1" x14ac:dyDescent="0.2"/>
    <row r="450" spans="1:22" ht="12.75" hidden="1" customHeight="1" x14ac:dyDescent="0.2"/>
    <row r="451" spans="1:22" ht="12.75" customHeight="1" x14ac:dyDescent="0.2"/>
    <row r="452" spans="1:22" ht="31.9" customHeight="1" x14ac:dyDescent="0.2">
      <c r="A452" s="821" t="s">
        <v>466</v>
      </c>
      <c r="B452" s="821"/>
      <c r="C452" s="821"/>
      <c r="D452" s="821"/>
    </row>
    <row r="453" spans="1:22" ht="12.75" hidden="1" customHeight="1" x14ac:dyDescent="0.2"/>
    <row r="454" spans="1:22" s="787" customFormat="1" ht="8.4499999999999993" customHeight="1" x14ac:dyDescent="0.2">
      <c r="A454" s="785"/>
      <c r="B454" s="786"/>
      <c r="C454" s="786"/>
      <c r="U454" s="788"/>
      <c r="V454" s="788"/>
    </row>
    <row r="455" spans="1:22" s="787" customFormat="1" ht="21.6" customHeight="1" x14ac:dyDescent="0.2">
      <c r="A455" s="789" t="s">
        <v>460</v>
      </c>
      <c r="B455" s="786"/>
      <c r="C455" s="786"/>
      <c r="U455" s="788"/>
      <c r="V455" s="788"/>
    </row>
    <row r="456" spans="1:22" s="787" customFormat="1" ht="12" customHeight="1" x14ac:dyDescent="0.2">
      <c r="A456" s="789"/>
      <c r="B456" s="786"/>
      <c r="C456" s="786"/>
      <c r="U456" s="788"/>
      <c r="V456" s="788"/>
    </row>
    <row r="457" spans="1:22" s="787" customFormat="1" ht="21.6" customHeight="1" x14ac:dyDescent="0.2">
      <c r="A457" s="789" t="s">
        <v>463</v>
      </c>
      <c r="B457" s="786"/>
      <c r="C457" s="786"/>
      <c r="U457" s="788"/>
      <c r="V457" s="788"/>
    </row>
    <row r="458" spans="1:22" s="787" customFormat="1" ht="21.6" customHeight="1" x14ac:dyDescent="0.2">
      <c r="A458" s="789" t="s">
        <v>461</v>
      </c>
      <c r="B458" s="786"/>
      <c r="C458" s="786"/>
      <c r="U458" s="788"/>
      <c r="V458" s="788"/>
    </row>
    <row r="459" spans="1:22" s="787" customFormat="1" ht="21.6" customHeight="1" x14ac:dyDescent="0.2">
      <c r="A459" s="789" t="s">
        <v>464</v>
      </c>
      <c r="B459" s="786"/>
      <c r="C459" s="786"/>
      <c r="U459" s="788"/>
      <c r="V459" s="788"/>
    </row>
    <row r="460" spans="1:22" s="787" customFormat="1" ht="21.6" customHeight="1" x14ac:dyDescent="0.2">
      <c r="A460" s="789" t="s">
        <v>465</v>
      </c>
      <c r="B460" s="786"/>
      <c r="C460" s="786"/>
      <c r="U460" s="788"/>
      <c r="V460" s="788"/>
    </row>
    <row r="461" spans="1:22" s="787" customFormat="1" ht="21.6" customHeight="1" x14ac:dyDescent="0.2">
      <c r="A461" s="790" t="s">
        <v>457</v>
      </c>
      <c r="B461" s="786"/>
      <c r="C461" s="786"/>
      <c r="U461" s="788"/>
      <c r="V461" s="788"/>
    </row>
    <row r="462" spans="1:22" s="787" customFormat="1" ht="7.15" customHeight="1" x14ac:dyDescent="0.2">
      <c r="A462" s="790"/>
      <c r="B462" s="786"/>
      <c r="C462" s="786"/>
      <c r="U462" s="788"/>
      <c r="V462" s="788"/>
    </row>
    <row r="463" spans="1:22" s="787" customFormat="1" ht="21.6" customHeight="1" x14ac:dyDescent="0.2">
      <c r="A463" s="789" t="s">
        <v>462</v>
      </c>
      <c r="B463" s="786"/>
      <c r="C463" s="786"/>
      <c r="U463" s="788"/>
      <c r="V463" s="788"/>
    </row>
    <row r="464" spans="1:22" s="787" customFormat="1" ht="21.6" customHeight="1" x14ac:dyDescent="0.2">
      <c r="A464" s="789" t="s">
        <v>458</v>
      </c>
      <c r="B464" s="786"/>
      <c r="C464" s="786"/>
      <c r="U464" s="788"/>
      <c r="V464" s="788"/>
    </row>
    <row r="465" spans="1:22" s="787" customFormat="1" ht="21.6" customHeight="1" x14ac:dyDescent="0.2">
      <c r="A465" s="789" t="s">
        <v>459</v>
      </c>
      <c r="B465" s="786"/>
      <c r="C465" s="786"/>
      <c r="U465" s="788"/>
      <c r="V465" s="788"/>
    </row>
    <row r="466" spans="1:22" s="787" customFormat="1" ht="12.75" customHeight="1" x14ac:dyDescent="0.2">
      <c r="B466" s="786"/>
      <c r="C466" s="786"/>
      <c r="U466" s="788"/>
      <c r="V466" s="788"/>
    </row>
    <row r="467" spans="1:22" s="787" customFormat="1" ht="12.75" customHeight="1" x14ac:dyDescent="0.2">
      <c r="B467" s="786"/>
      <c r="C467" s="786"/>
      <c r="U467" s="788"/>
      <c r="V467" s="788"/>
    </row>
    <row r="468" spans="1:22" s="787" customFormat="1" ht="12.75" customHeight="1" x14ac:dyDescent="0.2">
      <c r="B468" s="786"/>
      <c r="C468" s="786"/>
      <c r="U468" s="788"/>
      <c r="V468" s="788"/>
    </row>
    <row r="469" spans="1:22" s="787" customFormat="1" ht="12.75" customHeight="1" x14ac:dyDescent="0.2">
      <c r="B469" s="786"/>
      <c r="C469" s="786"/>
      <c r="U469" s="788"/>
      <c r="V469" s="788"/>
    </row>
    <row r="470" spans="1:22" ht="12.75" customHeight="1" x14ac:dyDescent="0.2"/>
    <row r="471" spans="1:22" ht="12.75" customHeight="1" x14ac:dyDescent="0.2"/>
    <row r="472" spans="1:22" ht="12.75" customHeight="1" x14ac:dyDescent="0.2"/>
    <row r="473" spans="1:22" ht="12.75" customHeight="1" x14ac:dyDescent="0.2"/>
    <row r="474" spans="1:22" ht="12.75" customHeight="1" x14ac:dyDescent="0.2"/>
    <row r="475" spans="1:22" ht="12.75" customHeight="1" x14ac:dyDescent="0.2"/>
    <row r="476" spans="1:22" ht="12.75" customHeight="1" x14ac:dyDescent="0.2"/>
    <row r="477" spans="1:22" ht="12.75" customHeight="1" x14ac:dyDescent="0.2"/>
    <row r="478" spans="1:22" ht="12.75" customHeight="1" x14ac:dyDescent="0.2"/>
    <row r="479" spans="1:22" ht="12.75" customHeight="1" x14ac:dyDescent="0.2"/>
    <row r="480" spans="1:22"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sheetData>
  <sheetProtection algorithmName="SHA-512" hashValue="ClBxPdpoW4z0NTkKXR4GAwFTOfm9DXhelLQFHjd291dG/JtagLN54wUcoo5CN8Vkd2BAnNS7m097sX9npPEYSw==" saltValue="aq9Jqf8vB+wgig2AkOwIeQ==" spinCount="100000" sheet="1" objects="1" scenarios="1" selectLockedCells="1"/>
  <mergeCells count="3">
    <mergeCell ref="P70:Q70"/>
    <mergeCell ref="L312:L313"/>
    <mergeCell ref="A452:D452"/>
  </mergeCells>
  <conditionalFormatting sqref="D286:O286">
    <cfRule type="cellIs" dxfId="3" priority="8" operator="lessThan">
      <formula>0</formula>
    </cfRule>
  </conditionalFormatting>
  <conditionalFormatting sqref="I193">
    <cfRule type="expression" dxfId="2" priority="1">
      <formula>"Parametros!$B$13=""Junio-Diciembre"""</formula>
    </cfRule>
  </conditionalFormatting>
  <conditionalFormatting sqref="R313">
    <cfRule type="cellIs" dxfId="1" priority="6" operator="lessThan">
      <formula>0</formula>
    </cfRule>
  </conditionalFormatting>
  <dataValidations count="7">
    <dataValidation operator="equal" allowBlank="1" showErrorMessage="1" sqref="O1" xr:uid="{00000000-0002-0000-0100-000000000000}"/>
    <dataValidation type="decimal" operator="lessThanOrEqual" allowBlank="1" showInputMessage="1" showErrorMessage="1" errorTitle="NO PUEDE SUPERAR EL LIMITE" error="LIMITE S/ ART 7º RG AFIP 4003." sqref="D301:Q301" xr:uid="{00000000-0002-0000-0100-000001000000}">
      <formula1>D305</formula1>
    </dataValidation>
    <dataValidation type="list" operator="equal" allowBlank="1" showInputMessage="1" showErrorMessage="1" sqref="D2:O2" xr:uid="{EAF10674-55E1-4A38-BC6B-ABBDE95BACB6}">
      <formula1>"SI,NO"</formula1>
    </dataValidation>
    <dataValidation type="list" allowBlank="1" showInputMessage="1" showErrorMessage="1" sqref="C24 C28 C12:C18" xr:uid="{00000000-0002-0000-0100-000003000000}">
      <formula1>"R,NR"</formula1>
    </dataValidation>
    <dataValidation type="list" allowBlank="1" showInputMessage="1" showErrorMessage="1" sqref="Q307" xr:uid="{00000000-0002-0000-0100-000004000000}">
      <formula1>"SI,NO"</formula1>
    </dataValidation>
    <dataValidation operator="equal" allowBlank="1" showInputMessage="1" showErrorMessage="1" sqref="D3:O3" xr:uid="{6EBB84FD-2C72-4C0F-9CC7-B7EFFCD8A109}"/>
    <dataValidation type="list" allowBlank="1" showInputMessage="1" showErrorMessage="1" sqref="B16:B18 B32:B35 B47:B49 B61:B62" xr:uid="{4B361DD2-6330-4B86-9DDA-54D7819E7B69}">
      <formula1>"H,NH"</formula1>
    </dataValidation>
  </dataValidations>
  <printOptions horizontalCentered="1" verticalCentered="1"/>
  <pageMargins left="0" right="0" top="0.196527777777778" bottom="0.196527777777778" header="0.511811023622047" footer="0.511811023622047"/>
  <pageSetup paperSize="9" scale="58"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EFDE-EB44-460C-91AA-AF02CD2F7E26}">
  <dimension ref="A7:C110"/>
  <sheetViews>
    <sheetView topLeftCell="A86" workbookViewId="0">
      <selection activeCell="A4" sqref="A4"/>
    </sheetView>
  </sheetViews>
  <sheetFormatPr baseColWidth="10" defaultColWidth="11.5703125" defaultRowHeight="12.75" x14ac:dyDescent="0.2"/>
  <cols>
    <col min="1" max="1" width="67.7109375" style="29" bestFit="1" customWidth="1"/>
    <col min="2" max="2" width="29.28515625" style="29" customWidth="1"/>
    <col min="3" max="3" width="8.140625" style="28" customWidth="1"/>
    <col min="4" max="16384" width="11.5703125" style="29"/>
  </cols>
  <sheetData>
    <row r="7" spans="1:2" ht="15.75" thickBot="1" x14ac:dyDescent="0.25">
      <c r="A7" s="26" t="s">
        <v>335</v>
      </c>
      <c r="B7" s="27"/>
    </row>
    <row r="8" spans="1:2" ht="13.5" thickBot="1" x14ac:dyDescent="0.25">
      <c r="A8" s="30" t="s">
        <v>336</v>
      </c>
      <c r="B8" s="31"/>
    </row>
    <row r="9" spans="1:2" x14ac:dyDescent="0.2">
      <c r="A9" s="32" t="s">
        <v>140</v>
      </c>
      <c r="B9" s="33">
        <f>+SUM('CALCULADORA MES'!T124:T125)</f>
        <v>26400000</v>
      </c>
    </row>
    <row r="10" spans="1:2" x14ac:dyDescent="0.2">
      <c r="A10" s="34" t="s">
        <v>141</v>
      </c>
      <c r="B10" s="35">
        <f>+SUM('CALCULADORA MES'!T126:T127)</f>
        <v>0</v>
      </c>
    </row>
    <row r="11" spans="1:2" x14ac:dyDescent="0.2">
      <c r="A11" s="34" t="s">
        <v>248</v>
      </c>
      <c r="B11" s="35">
        <f>+'CALCULADORA MES'!T103</f>
        <v>1100000</v>
      </c>
    </row>
    <row r="12" spans="1:2" x14ac:dyDescent="0.2">
      <c r="A12" s="34" t="s">
        <v>250</v>
      </c>
      <c r="B12" s="35">
        <f>+'CALCULADORA MES'!T105</f>
        <v>1100000</v>
      </c>
    </row>
    <row r="13" spans="1:2" x14ac:dyDescent="0.2">
      <c r="A13" s="34" t="s">
        <v>142</v>
      </c>
      <c r="B13" s="35">
        <f>+'CALCULADORA MES'!T128</f>
        <v>0</v>
      </c>
    </row>
    <row r="14" spans="1:2" x14ac:dyDescent="0.2">
      <c r="A14" s="34" t="s">
        <v>143</v>
      </c>
      <c r="B14" s="35">
        <f>+SUM('CALCULADORA MES'!T129:T131)</f>
        <v>0</v>
      </c>
    </row>
    <row r="15" spans="1:2" x14ac:dyDescent="0.2">
      <c r="A15" s="34" t="s">
        <v>144</v>
      </c>
      <c r="B15" s="35">
        <f>+'CALCULADORA MES'!T132</f>
        <v>0</v>
      </c>
    </row>
    <row r="16" spans="1:2" x14ac:dyDescent="0.2">
      <c r="A16" s="34" t="s">
        <v>145</v>
      </c>
      <c r="B16" s="35">
        <f>+'CALCULADORA MES'!T133</f>
        <v>0</v>
      </c>
    </row>
    <row r="17" spans="1:3" x14ac:dyDescent="0.2">
      <c r="A17" s="34" t="s">
        <v>146</v>
      </c>
      <c r="B17" s="35">
        <f>+'CALCULADORA MES'!T134</f>
        <v>0</v>
      </c>
    </row>
    <row r="18" spans="1:3" x14ac:dyDescent="0.2">
      <c r="A18" s="34" t="s">
        <v>147</v>
      </c>
      <c r="B18" s="35">
        <f>+'CALCULADORA MES'!T135</f>
        <v>0</v>
      </c>
    </row>
    <row r="19" spans="1:3" x14ac:dyDescent="0.2">
      <c r="A19" s="36" t="s">
        <v>246</v>
      </c>
      <c r="B19" s="37">
        <f>+SUM('CALCULADORA MES'!T136:T137)</f>
        <v>0</v>
      </c>
      <c r="C19" s="38" t="s">
        <v>367</v>
      </c>
    </row>
    <row r="20" spans="1:3" x14ac:dyDescent="0.2">
      <c r="A20" s="36" t="s">
        <v>148</v>
      </c>
      <c r="B20" s="37">
        <f>+SUM('CALCULADORA MES'!T138:T139)</f>
        <v>0</v>
      </c>
      <c r="C20" s="38" t="s">
        <v>367</v>
      </c>
    </row>
    <row r="21" spans="1:3" x14ac:dyDescent="0.2">
      <c r="A21" s="36" t="s">
        <v>149</v>
      </c>
      <c r="B21" s="37">
        <f>+'CALCULADORA MES'!T140</f>
        <v>0</v>
      </c>
      <c r="C21" s="38" t="s">
        <v>367</v>
      </c>
    </row>
    <row r="22" spans="1:3" x14ac:dyDescent="0.2">
      <c r="A22" s="36" t="s">
        <v>337</v>
      </c>
      <c r="B22" s="37">
        <v>0</v>
      </c>
      <c r="C22" s="38" t="s">
        <v>367</v>
      </c>
    </row>
    <row r="23" spans="1:3" x14ac:dyDescent="0.2">
      <c r="A23" s="36" t="s">
        <v>150</v>
      </c>
      <c r="B23" s="37">
        <f>+'CALCULADORA MES'!T141</f>
        <v>0</v>
      </c>
      <c r="C23" s="38" t="s">
        <v>367</v>
      </c>
    </row>
    <row r="24" spans="1:3" x14ac:dyDescent="0.2">
      <c r="A24" s="36" t="s">
        <v>315</v>
      </c>
      <c r="B24" s="37">
        <f>+'CALCULADORA MES'!T142</f>
        <v>0</v>
      </c>
      <c r="C24" s="38" t="s">
        <v>367</v>
      </c>
    </row>
    <row r="25" spans="1:3" x14ac:dyDescent="0.2">
      <c r="A25" s="36" t="s">
        <v>151</v>
      </c>
      <c r="B25" s="37">
        <f>+'CALCULADORA MES'!T143</f>
        <v>0</v>
      </c>
      <c r="C25" s="38" t="s">
        <v>367</v>
      </c>
    </row>
    <row r="26" spans="1:3" x14ac:dyDescent="0.2">
      <c r="A26" s="36" t="s">
        <v>152</v>
      </c>
      <c r="B26" s="37">
        <f>+'CALCULADORA MES'!T144</f>
        <v>0</v>
      </c>
      <c r="C26" s="38" t="s">
        <v>367</v>
      </c>
    </row>
    <row r="27" spans="1:3" x14ac:dyDescent="0.2">
      <c r="A27" s="36" t="s">
        <v>153</v>
      </c>
      <c r="B27" s="37">
        <f>+'CALCULADORA MES'!T145</f>
        <v>0</v>
      </c>
      <c r="C27" s="38" t="s">
        <v>367</v>
      </c>
    </row>
    <row r="28" spans="1:3" x14ac:dyDescent="0.2">
      <c r="A28" s="36" t="s">
        <v>338</v>
      </c>
      <c r="B28" s="37">
        <f>+'CALCULADORA MES'!T146</f>
        <v>0</v>
      </c>
      <c r="C28" s="38" t="s">
        <v>367</v>
      </c>
    </row>
    <row r="29" spans="1:3" x14ac:dyDescent="0.2">
      <c r="A29" s="36" t="s">
        <v>155</v>
      </c>
      <c r="B29" s="37">
        <f>+'CALCULADORA MES'!T147</f>
        <v>0</v>
      </c>
      <c r="C29" s="38" t="s">
        <v>367</v>
      </c>
    </row>
    <row r="30" spans="1:3" x14ac:dyDescent="0.2">
      <c r="A30" s="36" t="s">
        <v>249</v>
      </c>
      <c r="B30" s="37">
        <f>+'CALCULADORA MES'!T104</f>
        <v>0</v>
      </c>
      <c r="C30" s="38" t="s">
        <v>367</v>
      </c>
    </row>
    <row r="31" spans="1:3" x14ac:dyDescent="0.2">
      <c r="A31" s="36" t="s">
        <v>251</v>
      </c>
      <c r="B31" s="37">
        <f>+'CALCULADORA MES'!T106</f>
        <v>0</v>
      </c>
      <c r="C31" s="38" t="s">
        <v>367</v>
      </c>
    </row>
    <row r="32" spans="1:3" x14ac:dyDescent="0.2">
      <c r="A32" s="34" t="s">
        <v>156</v>
      </c>
      <c r="B32" s="35">
        <f>+SUM('CALCULADORA MES'!T150:T151)</f>
        <v>0</v>
      </c>
    </row>
    <row r="33" spans="1:3" ht="13.5" thickBot="1" x14ac:dyDescent="0.25">
      <c r="A33" s="39" t="s">
        <v>157</v>
      </c>
      <c r="B33" s="40">
        <f>+SUM('CALCULADORA MES'!T152:T153)</f>
        <v>0</v>
      </c>
      <c r="C33" s="38" t="s">
        <v>367</v>
      </c>
    </row>
    <row r="34" spans="1:3" ht="13.5" thickBot="1" x14ac:dyDescent="0.25">
      <c r="A34" s="41" t="s">
        <v>366</v>
      </c>
      <c r="B34" s="42"/>
    </row>
    <row r="35" spans="1:3" x14ac:dyDescent="0.2">
      <c r="A35" s="32" t="s">
        <v>140</v>
      </c>
      <c r="B35" s="43">
        <f>+'CALCULADORA MES'!T157</f>
        <v>0</v>
      </c>
    </row>
    <row r="36" spans="1:3" x14ac:dyDescent="0.2">
      <c r="A36" s="34" t="s">
        <v>141</v>
      </c>
      <c r="B36" s="44">
        <f>+'CALCULADORA MES'!T158</f>
        <v>0</v>
      </c>
    </row>
    <row r="37" spans="1:3" x14ac:dyDescent="0.2">
      <c r="A37" s="34" t="s">
        <v>248</v>
      </c>
      <c r="B37" s="44">
        <f>+'CALCULADORA MES'!T111</f>
        <v>0</v>
      </c>
    </row>
    <row r="38" spans="1:3" x14ac:dyDescent="0.2">
      <c r="A38" s="34" t="s">
        <v>250</v>
      </c>
      <c r="B38" s="44">
        <f>+'CALCULADORA MES'!T113</f>
        <v>0</v>
      </c>
    </row>
    <row r="39" spans="1:3" x14ac:dyDescent="0.2">
      <c r="A39" s="34" t="s">
        <v>339</v>
      </c>
      <c r="B39" s="44">
        <f>+'CALCULADORA MES'!T161</f>
        <v>0</v>
      </c>
    </row>
    <row r="40" spans="1:3" x14ac:dyDescent="0.2">
      <c r="A40" s="34" t="s">
        <v>340</v>
      </c>
      <c r="B40" s="44">
        <f>+'CALCULADORA MES'!T162</f>
        <v>0</v>
      </c>
    </row>
    <row r="41" spans="1:3" x14ac:dyDescent="0.2">
      <c r="A41" s="34" t="s">
        <v>341</v>
      </c>
      <c r="B41" s="44">
        <f>+'CALCULADORA MES'!T163</f>
        <v>0</v>
      </c>
    </row>
    <row r="42" spans="1:3" x14ac:dyDescent="0.2">
      <c r="A42" s="34" t="s">
        <v>160</v>
      </c>
      <c r="B42" s="44">
        <f>+'CALCULADORA MES'!T164</f>
        <v>0</v>
      </c>
    </row>
    <row r="43" spans="1:3" x14ac:dyDescent="0.2">
      <c r="A43" s="34" t="s">
        <v>342</v>
      </c>
      <c r="B43" s="44">
        <f>+'CALCULADORA MES'!T165</f>
        <v>0</v>
      </c>
    </row>
    <row r="44" spans="1:3" x14ac:dyDescent="0.2">
      <c r="A44" s="34" t="s">
        <v>147</v>
      </c>
      <c r="B44" s="44">
        <f>+'CALCULADORA MES'!T166</f>
        <v>0</v>
      </c>
    </row>
    <row r="45" spans="1:3" x14ac:dyDescent="0.2">
      <c r="A45" s="36" t="s">
        <v>343</v>
      </c>
      <c r="B45" s="45">
        <f>+'CALCULADORA MES'!T167</f>
        <v>0</v>
      </c>
      <c r="C45" s="38" t="s">
        <v>367</v>
      </c>
    </row>
    <row r="46" spans="1:3" x14ac:dyDescent="0.2">
      <c r="A46" s="36" t="s">
        <v>148</v>
      </c>
      <c r="B46" s="45">
        <f>+'CALCULADORA MES'!T168</f>
        <v>0</v>
      </c>
      <c r="C46" s="38" t="s">
        <v>367</v>
      </c>
    </row>
    <row r="47" spans="1:3" x14ac:dyDescent="0.2">
      <c r="A47" s="36" t="s">
        <v>149</v>
      </c>
      <c r="B47" s="45">
        <f>+'CALCULADORA MES'!T169</f>
        <v>0</v>
      </c>
      <c r="C47" s="38" t="s">
        <v>367</v>
      </c>
    </row>
    <row r="48" spans="1:3" x14ac:dyDescent="0.2">
      <c r="A48" s="36" t="s">
        <v>337</v>
      </c>
      <c r="B48" s="45">
        <v>0</v>
      </c>
      <c r="C48" s="38" t="s">
        <v>367</v>
      </c>
    </row>
    <row r="49" spans="1:3" x14ac:dyDescent="0.2">
      <c r="A49" s="36" t="s">
        <v>150</v>
      </c>
      <c r="B49" s="45">
        <f>+'CALCULADORA MES'!T170</f>
        <v>0</v>
      </c>
      <c r="C49" s="38" t="s">
        <v>367</v>
      </c>
    </row>
    <row r="50" spans="1:3" x14ac:dyDescent="0.2">
      <c r="A50" s="36" t="s">
        <v>315</v>
      </c>
      <c r="B50" s="45">
        <f>+'CALCULADORA MES'!T171</f>
        <v>0</v>
      </c>
      <c r="C50" s="38" t="s">
        <v>367</v>
      </c>
    </row>
    <row r="51" spans="1:3" x14ac:dyDescent="0.2">
      <c r="A51" s="36" t="s">
        <v>151</v>
      </c>
      <c r="B51" s="45">
        <f>+'CALCULADORA MES'!T172</f>
        <v>0</v>
      </c>
      <c r="C51" s="38" t="s">
        <v>367</v>
      </c>
    </row>
    <row r="52" spans="1:3" x14ac:dyDescent="0.2">
      <c r="A52" s="36" t="s">
        <v>152</v>
      </c>
      <c r="B52" s="45">
        <f>+'CALCULADORA MES'!T173</f>
        <v>0</v>
      </c>
      <c r="C52" s="38" t="s">
        <v>367</v>
      </c>
    </row>
    <row r="53" spans="1:3" x14ac:dyDescent="0.2">
      <c r="A53" s="36" t="s">
        <v>153</v>
      </c>
      <c r="B53" s="45">
        <f>+'CALCULADORA MES'!T174</f>
        <v>0</v>
      </c>
      <c r="C53" s="38" t="s">
        <v>367</v>
      </c>
    </row>
    <row r="54" spans="1:3" x14ac:dyDescent="0.2">
      <c r="A54" s="36" t="s">
        <v>344</v>
      </c>
      <c r="B54" s="45">
        <f>+'CALCULADORA MES'!T175</f>
        <v>0</v>
      </c>
      <c r="C54" s="38" t="s">
        <v>367</v>
      </c>
    </row>
    <row r="55" spans="1:3" x14ac:dyDescent="0.2">
      <c r="A55" s="36" t="s">
        <v>155</v>
      </c>
      <c r="B55" s="45">
        <f>+'CALCULADORA MES'!T176</f>
        <v>0</v>
      </c>
      <c r="C55" s="38" t="s">
        <v>367</v>
      </c>
    </row>
    <row r="56" spans="1:3" x14ac:dyDescent="0.2">
      <c r="A56" s="36" t="s">
        <v>249</v>
      </c>
      <c r="B56" s="45">
        <f>+'CALCULADORA MES'!T112</f>
        <v>0</v>
      </c>
      <c r="C56" s="38" t="s">
        <v>367</v>
      </c>
    </row>
    <row r="57" spans="1:3" x14ac:dyDescent="0.2">
      <c r="A57" s="36" t="s">
        <v>251</v>
      </c>
      <c r="B57" s="45">
        <f>+'CALCULADORA MES'!T114</f>
        <v>0</v>
      </c>
      <c r="C57" s="38" t="s">
        <v>367</v>
      </c>
    </row>
    <row r="58" spans="1:3" x14ac:dyDescent="0.2">
      <c r="A58" s="34" t="s">
        <v>156</v>
      </c>
      <c r="B58" s="44">
        <f>+'CALCULADORA MES'!T179</f>
        <v>0</v>
      </c>
    </row>
    <row r="59" spans="1:3" x14ac:dyDescent="0.2">
      <c r="A59" s="36" t="s">
        <v>157</v>
      </c>
      <c r="B59" s="45">
        <f>+'CALCULADORA MES'!T180</f>
        <v>0</v>
      </c>
      <c r="C59" s="38" t="s">
        <v>367</v>
      </c>
    </row>
    <row r="60" spans="1:3" x14ac:dyDescent="0.2">
      <c r="A60" s="46" t="s">
        <v>164</v>
      </c>
      <c r="B60" s="47">
        <f>+B62-B61</f>
        <v>28600000</v>
      </c>
    </row>
    <row r="61" spans="1:3" x14ac:dyDescent="0.2">
      <c r="A61" s="48" t="s">
        <v>345</v>
      </c>
      <c r="B61" s="49">
        <f>+SUMIFS(B9:B59,$C$9:$C$59,"EXE")</f>
        <v>0</v>
      </c>
    </row>
    <row r="62" spans="1:3" x14ac:dyDescent="0.2">
      <c r="A62" s="46" t="s">
        <v>166</v>
      </c>
      <c r="B62" s="47">
        <f>SUM(B9:B59)</f>
        <v>28600000</v>
      </c>
    </row>
    <row r="63" spans="1:3" x14ac:dyDescent="0.2">
      <c r="A63" s="50" t="s">
        <v>346</v>
      </c>
      <c r="B63" s="51"/>
    </row>
    <row r="64" spans="1:3" ht="25.5" x14ac:dyDescent="0.2">
      <c r="A64" s="52" t="s">
        <v>275</v>
      </c>
      <c r="B64" s="44">
        <f>+SUM('CALCULADORA MES'!T221,'CALCULADORA MES'!T223)</f>
        <v>4003999.9999999995</v>
      </c>
    </row>
    <row r="65" spans="1:2" ht="25.5" x14ac:dyDescent="0.2">
      <c r="A65" s="52" t="s">
        <v>347</v>
      </c>
      <c r="B65" s="44">
        <f>+'CALCULADORA MES'!T222</f>
        <v>0</v>
      </c>
    </row>
    <row r="66" spans="1:2" x14ac:dyDescent="0.2">
      <c r="A66" s="34" t="s">
        <v>277</v>
      </c>
      <c r="B66" s="44">
        <f>+'CALCULADORA MES'!T224</f>
        <v>858000</v>
      </c>
    </row>
    <row r="67" spans="1:2" x14ac:dyDescent="0.2">
      <c r="A67" s="34" t="s">
        <v>278</v>
      </c>
      <c r="B67" s="44">
        <f>+'CALCULADORA MES'!T225</f>
        <v>0</v>
      </c>
    </row>
    <row r="68" spans="1:2" x14ac:dyDescent="0.2">
      <c r="A68" s="34" t="s">
        <v>348</v>
      </c>
      <c r="B68" s="44">
        <f>+SUM('CALCULADORA MES'!T226,'CALCULADORA MES'!T228)</f>
        <v>0</v>
      </c>
    </row>
    <row r="69" spans="1:2" x14ac:dyDescent="0.2">
      <c r="A69" s="34" t="s">
        <v>349</v>
      </c>
      <c r="B69" s="44">
        <f>+'CALCULADORA MES'!T227</f>
        <v>0</v>
      </c>
    </row>
    <row r="70" spans="1:2" x14ac:dyDescent="0.2">
      <c r="A70" s="34" t="s">
        <v>281</v>
      </c>
      <c r="B70" s="44">
        <f>+'CALCULADORA MES'!T255</f>
        <v>0</v>
      </c>
    </row>
    <row r="71" spans="1:2" x14ac:dyDescent="0.2">
      <c r="A71" s="52" t="s">
        <v>282</v>
      </c>
      <c r="B71" s="44">
        <f>+'CALCULADORA MES'!T233</f>
        <v>0</v>
      </c>
    </row>
    <row r="72" spans="1:2" x14ac:dyDescent="0.2">
      <c r="A72" s="34" t="s">
        <v>350</v>
      </c>
      <c r="B72" s="44">
        <f>+'CALCULADORA MES'!T234</f>
        <v>0</v>
      </c>
    </row>
    <row r="73" spans="1:2" ht="25.5" x14ac:dyDescent="0.2">
      <c r="A73" s="34" t="s">
        <v>351</v>
      </c>
      <c r="B73" s="44">
        <f>+'CALCULADORA MES'!T236</f>
        <v>0</v>
      </c>
    </row>
    <row r="74" spans="1:2" x14ac:dyDescent="0.2">
      <c r="A74" s="34" t="s">
        <v>285</v>
      </c>
      <c r="B74" s="44">
        <f>+'CALCULADORA MES'!T235</f>
        <v>0</v>
      </c>
    </row>
    <row r="75" spans="1:2" x14ac:dyDescent="0.2">
      <c r="A75" s="52" t="s">
        <v>286</v>
      </c>
      <c r="B75" s="44">
        <f>+'CALCULADORA MES'!T237</f>
        <v>0</v>
      </c>
    </row>
    <row r="76" spans="1:2" ht="25.5" x14ac:dyDescent="0.2">
      <c r="A76" s="52" t="s">
        <v>287</v>
      </c>
      <c r="B76" s="44">
        <f>+SUM('CALCULADORA MES'!T240:T241)</f>
        <v>0</v>
      </c>
    </row>
    <row r="77" spans="1:2" ht="38.25" x14ac:dyDescent="0.2">
      <c r="A77" s="52" t="s">
        <v>352</v>
      </c>
      <c r="B77" s="44">
        <f>+'CALCULADORA MES'!T257</f>
        <v>0</v>
      </c>
    </row>
    <row r="78" spans="1:2" x14ac:dyDescent="0.2">
      <c r="A78" s="34" t="s">
        <v>353</v>
      </c>
      <c r="B78" s="44">
        <v>0</v>
      </c>
    </row>
    <row r="79" spans="1:2" x14ac:dyDescent="0.2">
      <c r="A79" s="34" t="s">
        <v>290</v>
      </c>
      <c r="B79" s="44">
        <f>+'CALCULADORA MES'!T256</f>
        <v>0</v>
      </c>
    </row>
    <row r="80" spans="1:2" x14ac:dyDescent="0.2">
      <c r="A80" s="34" t="s">
        <v>291</v>
      </c>
      <c r="B80" s="44">
        <f>+'CALCULADORA MES'!T232</f>
        <v>0</v>
      </c>
    </row>
    <row r="81" spans="1:2" ht="25.5" x14ac:dyDescent="0.2">
      <c r="A81" s="52" t="s">
        <v>292</v>
      </c>
      <c r="B81" s="44">
        <f>+'CALCULADORA MES'!T239</f>
        <v>0</v>
      </c>
    </row>
    <row r="82" spans="1:2" ht="25.5" x14ac:dyDescent="0.2">
      <c r="A82" s="52" t="s">
        <v>289</v>
      </c>
      <c r="B82" s="44">
        <f>+SUM('CALCULADORA MES'!T242:T243)</f>
        <v>0</v>
      </c>
    </row>
    <row r="83" spans="1:2" x14ac:dyDescent="0.2">
      <c r="A83" s="34" t="s">
        <v>293</v>
      </c>
      <c r="B83" s="44">
        <f>+'CALCULADORA MES'!T229</f>
        <v>0</v>
      </c>
    </row>
    <row r="84" spans="1:2" x14ac:dyDescent="0.2">
      <c r="A84" s="34" t="s">
        <v>294</v>
      </c>
      <c r="B84" s="44">
        <f>+'CALCULADORA MES'!T230</f>
        <v>0</v>
      </c>
    </row>
    <row r="85" spans="1:2" ht="25.5" x14ac:dyDescent="0.2">
      <c r="A85" s="34" t="s">
        <v>295</v>
      </c>
      <c r="B85" s="44" t="e">
        <f>+SUM('CALCULADORA MES'!#REF!)</f>
        <v>#REF!</v>
      </c>
    </row>
    <row r="86" spans="1:2" ht="25.5" x14ac:dyDescent="0.2">
      <c r="A86" s="34" t="s">
        <v>296</v>
      </c>
      <c r="B86" s="44" t="e">
        <f>+SUM('CALCULADORA MES'!#REF!)</f>
        <v>#REF!</v>
      </c>
    </row>
    <row r="87" spans="1:2" ht="25.5" x14ac:dyDescent="0.2">
      <c r="A87" s="34" t="s">
        <v>297</v>
      </c>
      <c r="B87" s="44" t="e">
        <f>+SUM('CALCULADORA MES'!#REF!)</f>
        <v>#REF!</v>
      </c>
    </row>
    <row r="88" spans="1:2" x14ac:dyDescent="0.2">
      <c r="A88" s="34" t="s">
        <v>299</v>
      </c>
      <c r="B88" s="44">
        <f>+'CALCULADORA MES'!T231</f>
        <v>0</v>
      </c>
    </row>
    <row r="89" spans="1:2" x14ac:dyDescent="0.2">
      <c r="A89" s="34" t="s">
        <v>298</v>
      </c>
      <c r="B89" s="44">
        <f>+'CALCULADORA MES'!T238</f>
        <v>0</v>
      </c>
    </row>
    <row r="90" spans="1:2" x14ac:dyDescent="0.2">
      <c r="A90" s="34" t="s">
        <v>354</v>
      </c>
      <c r="B90" s="44">
        <v>0</v>
      </c>
    </row>
    <row r="91" spans="1:2" x14ac:dyDescent="0.2">
      <c r="A91" s="53" t="s">
        <v>300</v>
      </c>
      <c r="B91" s="47" t="e">
        <f>SUM(B64:B90)</f>
        <v>#REF!</v>
      </c>
    </row>
    <row r="92" spans="1:2" x14ac:dyDescent="0.2">
      <c r="A92" s="50" t="s">
        <v>355</v>
      </c>
      <c r="B92" s="51"/>
    </row>
    <row r="93" spans="1:2" x14ac:dyDescent="0.2">
      <c r="A93" s="52" t="s">
        <v>301</v>
      </c>
      <c r="B93" s="54">
        <f>+'CALCULADORA MES'!T277</f>
        <v>3091035</v>
      </c>
    </row>
    <row r="94" spans="1:2" x14ac:dyDescent="0.2">
      <c r="A94" s="55" t="s">
        <v>356</v>
      </c>
      <c r="B94" s="56"/>
    </row>
    <row r="95" spans="1:2" x14ac:dyDescent="0.2">
      <c r="A95" s="34" t="s">
        <v>357</v>
      </c>
      <c r="B95" s="54">
        <f>+'CALCULADORA MES'!T278</f>
        <v>0</v>
      </c>
    </row>
    <row r="96" spans="1:2" x14ac:dyDescent="0.2">
      <c r="A96" s="52" t="s">
        <v>358</v>
      </c>
      <c r="B96" s="57">
        <f>+SUM(Deducciones!O27:O28)</f>
        <v>0</v>
      </c>
    </row>
    <row r="97" spans="1:2" x14ac:dyDescent="0.2">
      <c r="A97" s="52" t="s">
        <v>359</v>
      </c>
      <c r="B97" s="57">
        <f>+SUM(Deducciones!O29:O30)</f>
        <v>0</v>
      </c>
    </row>
    <row r="98" spans="1:2" x14ac:dyDescent="0.2">
      <c r="A98" s="34" t="s">
        <v>360</v>
      </c>
      <c r="B98" s="54">
        <f>+SUM('CALCULADORA MES'!T279:T280)</f>
        <v>0</v>
      </c>
    </row>
    <row r="99" spans="1:2" x14ac:dyDescent="0.2">
      <c r="A99" s="53" t="s">
        <v>361</v>
      </c>
      <c r="B99" s="58">
        <f>+SUM(B95,B98)</f>
        <v>0</v>
      </c>
    </row>
    <row r="100" spans="1:2" x14ac:dyDescent="0.2">
      <c r="A100" s="52" t="s">
        <v>362</v>
      </c>
      <c r="B100" s="54">
        <f>+'CALCULADORA MES'!T281</f>
        <v>14836968</v>
      </c>
    </row>
    <row r="101" spans="1:2" x14ac:dyDescent="0.2">
      <c r="A101" s="34" t="s">
        <v>363</v>
      </c>
      <c r="B101" s="54">
        <v>0</v>
      </c>
    </row>
    <row r="102" spans="1:2" x14ac:dyDescent="0.2">
      <c r="A102" s="53" t="s">
        <v>305</v>
      </c>
      <c r="B102" s="58">
        <f>+SUM(B93,B99:B101)</f>
        <v>17928003</v>
      </c>
    </row>
    <row r="103" spans="1:2" x14ac:dyDescent="0.2">
      <c r="A103" s="59" t="s">
        <v>364</v>
      </c>
      <c r="B103" s="51"/>
    </row>
    <row r="104" spans="1:2" x14ac:dyDescent="0.2">
      <c r="A104" s="52" t="s">
        <v>365</v>
      </c>
      <c r="B104" s="54">
        <f>+'CALCULADORA MES'!T287</f>
        <v>4315996.75</v>
      </c>
    </row>
    <row r="105" spans="1:2" x14ac:dyDescent="0.2">
      <c r="A105" s="34" t="s">
        <v>308</v>
      </c>
      <c r="B105" s="60">
        <f>+'CALCULADORA MES'!T290</f>
        <v>0.15</v>
      </c>
    </row>
    <row r="106" spans="1:2" x14ac:dyDescent="0.2">
      <c r="A106" s="34" t="s">
        <v>307</v>
      </c>
      <c r="B106" s="60">
        <f>+'CALCULADORA MES'!T291</f>
        <v>0.15</v>
      </c>
    </row>
    <row r="107" spans="1:2" x14ac:dyDescent="0.2">
      <c r="A107" s="61" t="s">
        <v>309</v>
      </c>
      <c r="B107" s="62">
        <f>+'CALCULADORA MES'!T292</f>
        <v>419399.51250000001</v>
      </c>
    </row>
    <row r="108" spans="1:2" x14ac:dyDescent="0.2">
      <c r="A108" s="34" t="s">
        <v>310</v>
      </c>
      <c r="B108" s="47">
        <f>+'CALCULADORA MES'!T295</f>
        <v>0</v>
      </c>
    </row>
    <row r="109" spans="1:2" x14ac:dyDescent="0.2">
      <c r="A109" s="34" t="s">
        <v>311</v>
      </c>
      <c r="B109" s="47">
        <f>+'CALCULADORA MES'!T297</f>
        <v>0</v>
      </c>
    </row>
    <row r="110" spans="1:2" ht="17.45" customHeight="1" x14ac:dyDescent="0.2">
      <c r="A110" s="52" t="str">
        <f>IF(B110&lt;0,"SALDO A FAVOR CONTRIBUYENTE","SALDO A PAGAR")</f>
        <v>SALDO A PAGAR</v>
      </c>
      <c r="B110" s="47">
        <f>+'CALCULADORA MES'!T299</f>
        <v>419399.51250000001</v>
      </c>
    </row>
  </sheetData>
  <sheetProtection formatCells="0" formatColumns="0" formatRows="0"/>
  <conditionalFormatting sqref="B110">
    <cfRule type="cellIs" dxfId="0" priority="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Parametros</vt:lpstr>
      <vt:lpstr>Tablas</vt:lpstr>
      <vt:lpstr>Deducciones</vt:lpstr>
      <vt:lpstr>CALCULADORA MES</vt:lpstr>
      <vt:lpstr>F.1357 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Dumenes Teresa</dc:creator>
  <cp:lastModifiedBy>usuario</cp:lastModifiedBy>
  <cp:revision>10</cp:revision>
  <cp:lastPrinted>2024-06-30T04:29:12Z</cp:lastPrinted>
  <dcterms:created xsi:type="dcterms:W3CDTF">2016-12-28T15:09:01Z</dcterms:created>
  <dcterms:modified xsi:type="dcterms:W3CDTF">2024-07-02T10:57:00Z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se">
    <vt:bool>false</vt:bool>
  </property>
  <property fmtid="{D5CDD505-2E9C-101B-9397-08002B2CF9AE}" pid="3" name="ComplianceAssetId">
    <vt:lpwstr/>
  </property>
  <property fmtid="{D5CDD505-2E9C-101B-9397-08002B2CF9AE}" pid="4" name="ContentTypeId">
    <vt:lpwstr>0x01010090136FBC6DA54540B8BE386C6155171F</vt:lpwstr>
  </property>
  <property fmtid="{D5CDD505-2E9C-101B-9397-08002B2CF9AE}" pid="5" name="Order">
    <vt:r8>51685000</vt:r8>
  </property>
  <property fmtid="{D5CDD505-2E9C-101B-9397-08002B2CF9AE}" pid="6" name="TemplateUrl">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