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aria\OneDrive - Económicas - UBA\Documentos\Consejo\Planilla 4 categoría Revisión\Modelo 2023\Planilla Vero\"/>
    </mc:Choice>
  </mc:AlternateContent>
  <workbookProtection workbookAlgorithmName="SHA-512" workbookHashValue="X9QolqeucEvTVjeMQM1MnAn3sczY+QB+tJ+DfhQWryEmnlCP11W6lkLks0aVJGZXUPu+DLweBIs3z50vj2pmmg==" workbookSaltValue="g9jtw7fX1AWeyEBWSCRhPQ==" workbookSpinCount="100000" lockStructure="1"/>
  <bookViews>
    <workbookView xWindow="0" yWindow="0" windowWidth="19200" windowHeight="10890" tabRatio="601"/>
  </bookViews>
  <sheets>
    <sheet name="Planilla de Liquidación" sheetId="1" r:id="rId1"/>
    <sheet name="Escala Impuesto 2023 mensual" sheetId="2" r:id="rId2"/>
    <sheet name="AnexoIV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7" i="1" l="1"/>
  <c r="C166" i="1"/>
  <c r="C165" i="1"/>
  <c r="J159" i="1"/>
  <c r="I159" i="1"/>
  <c r="H159" i="1"/>
  <c r="B159" i="1"/>
  <c r="M158" i="1"/>
  <c r="L158" i="1"/>
  <c r="F158" i="1"/>
  <c r="E158" i="1"/>
  <c r="D158" i="1"/>
  <c r="M156" i="1"/>
  <c r="M159" i="1" s="1"/>
  <c r="L156" i="1"/>
  <c r="L159" i="1" s="1"/>
  <c r="K156" i="1"/>
  <c r="K159" i="1" s="1"/>
  <c r="J156" i="1"/>
  <c r="I156" i="1"/>
  <c r="H156" i="1"/>
  <c r="G156" i="1"/>
  <c r="G159" i="1" s="1"/>
  <c r="F156" i="1"/>
  <c r="F159" i="1" s="1"/>
  <c r="E156" i="1"/>
  <c r="E159" i="1" s="1"/>
  <c r="D156" i="1"/>
  <c r="D159" i="1" s="1"/>
  <c r="C156" i="1"/>
  <c r="C159" i="1" s="1"/>
  <c r="B156" i="1"/>
  <c r="M155" i="1"/>
  <c r="M157" i="1" s="1"/>
  <c r="L155" i="1"/>
  <c r="L157" i="1" s="1"/>
  <c r="K155" i="1"/>
  <c r="K158" i="1" s="1"/>
  <c r="J155" i="1"/>
  <c r="J158" i="1" s="1"/>
  <c r="I155" i="1"/>
  <c r="I158" i="1" s="1"/>
  <c r="H155" i="1"/>
  <c r="H157" i="1" s="1"/>
  <c r="G155" i="1"/>
  <c r="G157" i="1" s="1"/>
  <c r="F155" i="1"/>
  <c r="F157" i="1" s="1"/>
  <c r="E155" i="1"/>
  <c r="E157" i="1" s="1"/>
  <c r="D155" i="1"/>
  <c r="D157" i="1" s="1"/>
  <c r="C155" i="1"/>
  <c r="C158" i="1" s="1"/>
  <c r="B155" i="1"/>
  <c r="B158" i="1" s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B69" i="1" s="1"/>
  <c r="M133" i="1"/>
  <c r="L133" i="1"/>
  <c r="K133" i="1"/>
  <c r="J133" i="1"/>
  <c r="I133" i="1"/>
  <c r="H133" i="1"/>
  <c r="G133" i="1"/>
  <c r="F133" i="1"/>
  <c r="E133" i="1"/>
  <c r="D133" i="1"/>
  <c r="C133" i="1"/>
  <c r="B133" i="1"/>
  <c r="M128" i="1"/>
  <c r="F128" i="1"/>
  <c r="C128" i="1"/>
  <c r="D120" i="1"/>
  <c r="E120" i="1" s="1"/>
  <c r="E119" i="1"/>
  <c r="D119" i="1"/>
  <c r="D118" i="1"/>
  <c r="E118" i="1" s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09" i="1"/>
  <c r="J84" i="1" s="1"/>
  <c r="M84" i="1"/>
  <c r="L84" i="1"/>
  <c r="K84" i="1"/>
  <c r="I84" i="1"/>
  <c r="H84" i="1"/>
  <c r="G84" i="1"/>
  <c r="E84" i="1"/>
  <c r="D84" i="1"/>
  <c r="C84" i="1"/>
  <c r="M72" i="1"/>
  <c r="L72" i="1"/>
  <c r="K72" i="1"/>
  <c r="J72" i="1"/>
  <c r="I72" i="1"/>
  <c r="H72" i="1"/>
  <c r="G72" i="1"/>
  <c r="F72" i="1"/>
  <c r="E72" i="1"/>
  <c r="D72" i="1"/>
  <c r="C72" i="1"/>
  <c r="B72" i="1"/>
  <c r="C70" i="1"/>
  <c r="D70" i="1" s="1"/>
  <c r="B70" i="1"/>
  <c r="C68" i="1"/>
  <c r="B68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M56" i="1"/>
  <c r="L56" i="1"/>
  <c r="K56" i="1"/>
  <c r="J56" i="1"/>
  <c r="I56" i="1"/>
  <c r="H56" i="1"/>
  <c r="G56" i="1"/>
  <c r="F56" i="1"/>
  <c r="E56" i="1"/>
  <c r="D56" i="1"/>
  <c r="C56" i="1"/>
  <c r="B56" i="1"/>
  <c r="M54" i="1"/>
  <c r="L54" i="1"/>
  <c r="K54" i="1"/>
  <c r="J54" i="1"/>
  <c r="I54" i="1"/>
  <c r="H54" i="1"/>
  <c r="G54" i="1"/>
  <c r="F54" i="1"/>
  <c r="E54" i="1"/>
  <c r="D54" i="1"/>
  <c r="C54" i="1"/>
  <c r="B54" i="1"/>
  <c r="M53" i="1"/>
  <c r="L53" i="1"/>
  <c r="K53" i="1"/>
  <c r="J53" i="1"/>
  <c r="I53" i="1"/>
  <c r="H53" i="1"/>
  <c r="G53" i="1"/>
  <c r="F53" i="1"/>
  <c r="E53" i="1"/>
  <c r="D53" i="1"/>
  <c r="C53" i="1"/>
  <c r="B53" i="1"/>
  <c r="M51" i="1"/>
  <c r="L51" i="1"/>
  <c r="K51" i="1"/>
  <c r="J51" i="1"/>
  <c r="I51" i="1"/>
  <c r="H51" i="1"/>
  <c r="G51" i="1"/>
  <c r="F51" i="1"/>
  <c r="E51" i="1"/>
  <c r="D51" i="1"/>
  <c r="C51" i="1"/>
  <c r="B51" i="1"/>
  <c r="M49" i="1"/>
  <c r="L49" i="1"/>
  <c r="K49" i="1"/>
  <c r="J49" i="1"/>
  <c r="I49" i="1"/>
  <c r="H49" i="1"/>
  <c r="G49" i="1"/>
  <c r="F49" i="1"/>
  <c r="E49" i="1"/>
  <c r="D49" i="1"/>
  <c r="C49" i="1"/>
  <c r="B49" i="1"/>
  <c r="M48" i="1"/>
  <c r="L48" i="1"/>
  <c r="K48" i="1"/>
  <c r="J48" i="1"/>
  <c r="I48" i="1"/>
  <c r="H48" i="1"/>
  <c r="G48" i="1"/>
  <c r="F48" i="1"/>
  <c r="E48" i="1"/>
  <c r="D48" i="1"/>
  <c r="C48" i="1"/>
  <c r="B48" i="1"/>
  <c r="M25" i="1"/>
  <c r="L25" i="1"/>
  <c r="K25" i="1"/>
  <c r="J25" i="1"/>
  <c r="I25" i="1"/>
  <c r="H25" i="1"/>
  <c r="G25" i="1"/>
  <c r="F25" i="1"/>
  <c r="E25" i="1"/>
  <c r="D25" i="1"/>
  <c r="C25" i="1"/>
  <c r="B25" i="1"/>
  <c r="M19" i="1"/>
  <c r="L19" i="1"/>
  <c r="K19" i="1"/>
  <c r="J19" i="1"/>
  <c r="I19" i="1"/>
  <c r="H19" i="1"/>
  <c r="G19" i="1"/>
  <c r="F19" i="1"/>
  <c r="E19" i="1"/>
  <c r="D19" i="1"/>
  <c r="C19" i="1"/>
  <c r="B19" i="1"/>
  <c r="M16" i="1"/>
  <c r="M42" i="1" s="1"/>
  <c r="L16" i="1"/>
  <c r="L27" i="1" s="1"/>
  <c r="K16" i="1"/>
  <c r="K27" i="1" s="1"/>
  <c r="J16" i="1"/>
  <c r="J27" i="1" s="1"/>
  <c r="I16" i="1"/>
  <c r="I27" i="1" s="1"/>
  <c r="H16" i="1"/>
  <c r="H42" i="1" s="1"/>
  <c r="G16" i="1"/>
  <c r="G42" i="1" s="1"/>
  <c r="F16" i="1"/>
  <c r="F42" i="1" s="1"/>
  <c r="E16" i="1"/>
  <c r="E42" i="1" s="1"/>
  <c r="D16" i="1"/>
  <c r="D27" i="1" s="1"/>
  <c r="C16" i="1"/>
  <c r="C27" i="1" s="1"/>
  <c r="B16" i="1"/>
  <c r="M27" i="1" l="1"/>
  <c r="C168" i="1"/>
  <c r="B27" i="1"/>
  <c r="B42" i="1"/>
  <c r="F27" i="1"/>
  <c r="G27" i="1"/>
  <c r="E27" i="1"/>
  <c r="K86" i="1"/>
  <c r="C86" i="1"/>
  <c r="J86" i="1"/>
  <c r="B86" i="1"/>
  <c r="H86" i="1"/>
  <c r="I86" i="1"/>
  <c r="G86" i="1"/>
  <c r="F86" i="1"/>
  <c r="M86" i="1"/>
  <c r="E86" i="1"/>
  <c r="L86" i="1"/>
  <c r="D86" i="1"/>
  <c r="F44" i="1"/>
  <c r="F45" i="1" s="1"/>
  <c r="F90" i="1" s="1"/>
  <c r="H44" i="1"/>
  <c r="H45" i="1" s="1"/>
  <c r="H90" i="1" s="1"/>
  <c r="G44" i="1"/>
  <c r="G45" i="1" s="1"/>
  <c r="G90" i="1" s="1"/>
  <c r="E110" i="1"/>
  <c r="C69" i="1"/>
  <c r="D69" i="1" s="1"/>
  <c r="D68" i="1"/>
  <c r="I157" i="1"/>
  <c r="C42" i="1"/>
  <c r="K42" i="1"/>
  <c r="E70" i="1"/>
  <c r="B157" i="1"/>
  <c r="J157" i="1"/>
  <c r="H27" i="1"/>
  <c r="D42" i="1"/>
  <c r="L42" i="1"/>
  <c r="F70" i="1"/>
  <c r="F84" i="1"/>
  <c r="C157" i="1"/>
  <c r="K157" i="1"/>
  <c r="G158" i="1"/>
  <c r="J42" i="1"/>
  <c r="I42" i="1"/>
  <c r="G70" i="1"/>
  <c r="H158" i="1"/>
  <c r="D67" i="1"/>
  <c r="B84" i="1"/>
  <c r="I44" i="1" l="1"/>
  <c r="I45" i="1" s="1"/>
  <c r="M44" i="1"/>
  <c r="M45" i="1" s="1"/>
  <c r="M90" i="1" s="1"/>
  <c r="L44" i="1"/>
  <c r="K44" i="1"/>
  <c r="K45" i="1" s="1"/>
  <c r="K90" i="1" s="1"/>
  <c r="J44" i="1"/>
  <c r="M43" i="1"/>
  <c r="M154" i="1" s="1"/>
  <c r="D44" i="1"/>
  <c r="D45" i="1" s="1"/>
  <c r="D90" i="1" s="1"/>
  <c r="C44" i="1"/>
  <c r="C45" i="1" s="1"/>
  <c r="C90" i="1" s="1"/>
  <c r="E44" i="1"/>
  <c r="E45" i="1" s="1"/>
  <c r="E90" i="1" s="1"/>
  <c r="H43" i="1"/>
  <c r="H151" i="1" s="1"/>
  <c r="F43" i="1"/>
  <c r="B44" i="1"/>
  <c r="B45" i="1" s="1"/>
  <c r="B90" i="1" s="1"/>
  <c r="B91" i="1" s="1"/>
  <c r="E43" i="1"/>
  <c r="E151" i="1" s="1"/>
  <c r="I70" i="1"/>
  <c r="K43" i="1"/>
  <c r="I43" i="1"/>
  <c r="I151" i="1" s="1"/>
  <c r="E67" i="1"/>
  <c r="G67" i="1" s="1"/>
  <c r="D43" i="1"/>
  <c r="D151" i="1" s="1"/>
  <c r="H70" i="1"/>
  <c r="J70" i="1" s="1"/>
  <c r="L45" i="1"/>
  <c r="L90" i="1" s="1"/>
  <c r="J43" i="1"/>
  <c r="L43" i="1"/>
  <c r="L151" i="1" s="1"/>
  <c r="G85" i="1"/>
  <c r="F85" i="1"/>
  <c r="L85" i="1"/>
  <c r="D85" i="1"/>
  <c r="C85" i="1"/>
  <c r="M85" i="1"/>
  <c r="E85" i="1"/>
  <c r="K85" i="1"/>
  <c r="J85" i="1"/>
  <c r="B85" i="1"/>
  <c r="I85" i="1"/>
  <c r="H85" i="1"/>
  <c r="G43" i="1"/>
  <c r="G59" i="1" s="1"/>
  <c r="E69" i="1"/>
  <c r="E68" i="1"/>
  <c r="F68" i="1" s="1"/>
  <c r="C43" i="1"/>
  <c r="B43" i="1"/>
  <c r="F67" i="1"/>
  <c r="H67" i="1" s="1"/>
  <c r="J45" i="1"/>
  <c r="J90" i="1" s="1"/>
  <c r="M151" i="1" l="1"/>
  <c r="G154" i="1"/>
  <c r="M75" i="1"/>
  <c r="H154" i="1"/>
  <c r="F154" i="1"/>
  <c r="I154" i="1"/>
  <c r="G75" i="1"/>
  <c r="U8" i="1" a="1"/>
  <c r="U8" i="1" s="1"/>
  <c r="E154" i="1"/>
  <c r="L154" i="1"/>
  <c r="C91" i="1"/>
  <c r="D91" i="1" s="1"/>
  <c r="E91" i="1" s="1"/>
  <c r="F91" i="1" s="1"/>
  <c r="G91" i="1" s="1"/>
  <c r="H91" i="1" s="1"/>
  <c r="U10" i="1"/>
  <c r="D154" i="1"/>
  <c r="F151" i="1"/>
  <c r="U14" i="1"/>
  <c r="K154" i="1"/>
  <c r="U9" i="1"/>
  <c r="I90" i="1"/>
  <c r="K151" i="1"/>
  <c r="J151" i="1"/>
  <c r="B151" i="1"/>
  <c r="B154" i="1"/>
  <c r="J154" i="1"/>
  <c r="C151" i="1"/>
  <c r="C154" i="1"/>
  <c r="G68" i="1"/>
  <c r="H68" i="1" s="1"/>
  <c r="K70" i="1"/>
  <c r="L70" i="1" s="1"/>
  <c r="F69" i="1"/>
  <c r="J67" i="1"/>
  <c r="K67" i="1" s="1"/>
  <c r="G151" i="1"/>
  <c r="I67" i="1"/>
  <c r="I91" i="1" l="1"/>
  <c r="J91" i="1" s="1"/>
  <c r="K91" i="1" s="1"/>
  <c r="L91" i="1" s="1"/>
  <c r="M91" i="1" s="1"/>
  <c r="I152" i="1"/>
  <c r="I153" i="1" s="1"/>
  <c r="I160" i="1" s="1"/>
  <c r="I161" i="1" s="1"/>
  <c r="U11" i="1"/>
  <c r="U12" i="1" s="1"/>
  <c r="U13" i="1" s="1"/>
  <c r="U15" i="1" s="1"/>
  <c r="U16" i="1" s="1"/>
  <c r="M67" i="1"/>
  <c r="M152" i="1"/>
  <c r="M153" i="1" s="1"/>
  <c r="M160" i="1" s="1"/>
  <c r="M161" i="1" s="1"/>
  <c r="G69" i="1"/>
  <c r="I68" i="1"/>
  <c r="J152" i="1"/>
  <c r="J153" i="1" s="1"/>
  <c r="J160" i="1" s="1"/>
  <c r="B152" i="1"/>
  <c r="B153" i="1" s="1"/>
  <c r="B160" i="1" s="1"/>
  <c r="K152" i="1"/>
  <c r="K153" i="1" s="1"/>
  <c r="K160" i="1" s="1"/>
  <c r="K161" i="1" s="1"/>
  <c r="C152" i="1"/>
  <c r="C153" i="1" s="1"/>
  <c r="C160" i="1" s="1"/>
  <c r="G152" i="1"/>
  <c r="G153" i="1" s="1"/>
  <c r="G160" i="1" s="1"/>
  <c r="D152" i="1"/>
  <c r="D153" i="1" s="1"/>
  <c r="D160" i="1" s="1"/>
  <c r="D161" i="1" s="1"/>
  <c r="E152" i="1"/>
  <c r="E153" i="1" s="1"/>
  <c r="E160" i="1" s="1"/>
  <c r="E162" i="1" s="1"/>
  <c r="H152" i="1"/>
  <c r="H153" i="1" s="1"/>
  <c r="H160" i="1" s="1"/>
  <c r="H162" i="1" s="1"/>
  <c r="L67" i="1"/>
  <c r="L152" i="1"/>
  <c r="L153" i="1" s="1"/>
  <c r="L160" i="1" s="1"/>
  <c r="L161" i="1" s="1"/>
  <c r="M70" i="1"/>
  <c r="F152" i="1"/>
  <c r="F153" i="1" s="1"/>
  <c r="F160" i="1" s="1"/>
  <c r="F162" i="1" s="1"/>
  <c r="J161" i="1" l="1"/>
  <c r="J162" i="1"/>
  <c r="K162" i="1"/>
  <c r="I162" i="1"/>
  <c r="L162" i="1"/>
  <c r="H161" i="1"/>
  <c r="M162" i="1"/>
  <c r="E161" i="1"/>
  <c r="G162" i="1"/>
  <c r="G161" i="1"/>
  <c r="J68" i="1"/>
  <c r="K68" i="1" s="1"/>
  <c r="F161" i="1"/>
  <c r="C162" i="1"/>
  <c r="C161" i="1"/>
  <c r="D162" i="1"/>
  <c r="H69" i="1"/>
  <c r="I69" i="1" s="1"/>
  <c r="B161" i="1"/>
  <c r="B162" i="1"/>
  <c r="I55" i="1" l="1"/>
  <c r="L55" i="1"/>
  <c r="I50" i="1"/>
  <c r="M55" i="1"/>
  <c r="G50" i="1"/>
  <c r="D55" i="1"/>
  <c r="K50" i="1"/>
  <c r="M68" i="1"/>
  <c r="L50" i="1"/>
  <c r="F55" i="1"/>
  <c r="C55" i="1"/>
  <c r="B55" i="1"/>
  <c r="M50" i="1"/>
  <c r="F50" i="1"/>
  <c r="H55" i="1"/>
  <c r="C50" i="1"/>
  <c r="B50" i="1"/>
  <c r="J50" i="1"/>
  <c r="G55" i="1"/>
  <c r="K55" i="1"/>
  <c r="J69" i="1"/>
  <c r="L69" i="1" s="1"/>
  <c r="M69" i="1" s="1"/>
  <c r="L68" i="1"/>
  <c r="E50" i="1"/>
  <c r="D50" i="1"/>
  <c r="H50" i="1"/>
  <c r="E55" i="1"/>
  <c r="J55" i="1"/>
  <c r="K69" i="1"/>
  <c r="H62" i="1" l="1"/>
  <c r="M64" i="1"/>
  <c r="M62" i="1"/>
  <c r="M63" i="1"/>
  <c r="G63" i="1"/>
  <c r="G64" i="1"/>
  <c r="G62" i="1"/>
  <c r="D64" i="1"/>
  <c r="M57" i="1"/>
  <c r="I64" i="1"/>
  <c r="I62" i="1"/>
  <c r="I63" i="1"/>
  <c r="L64" i="1"/>
  <c r="L63" i="1"/>
  <c r="L62" i="1"/>
  <c r="J64" i="1"/>
  <c r="J62" i="1"/>
  <c r="J63" i="1"/>
  <c r="H63" i="1"/>
  <c r="H64" i="1"/>
  <c r="K62" i="1"/>
  <c r="K63" i="1"/>
  <c r="K64" i="1"/>
  <c r="D62" i="1"/>
  <c r="J57" i="1"/>
  <c r="I57" i="1"/>
  <c r="D63" i="1"/>
  <c r="L57" i="1"/>
  <c r="K57" i="1"/>
  <c r="D57" i="1"/>
  <c r="E57" i="1"/>
  <c r="F63" i="1"/>
  <c r="G57" i="1"/>
  <c r="G60" i="1" s="1"/>
  <c r="E63" i="1"/>
  <c r="H57" i="1"/>
  <c r="E62" i="1"/>
  <c r="E64" i="1"/>
  <c r="F64" i="1"/>
  <c r="F57" i="1"/>
  <c r="F62" i="1"/>
  <c r="B64" i="1"/>
  <c r="B57" i="1"/>
  <c r="B62" i="1"/>
  <c r="B63" i="1"/>
  <c r="C63" i="1"/>
  <c r="C57" i="1"/>
  <c r="C64" i="1"/>
  <c r="C62" i="1"/>
  <c r="D74" i="1" l="1"/>
  <c r="R10" i="1" s="1"/>
  <c r="L74" i="1"/>
  <c r="L76" i="1" s="1"/>
  <c r="F74" i="1"/>
  <c r="T10" i="1" s="1"/>
  <c r="J74" i="1"/>
  <c r="J76" i="1" s="1"/>
  <c r="I74" i="1"/>
  <c r="I76" i="1" s="1"/>
  <c r="L58" i="1"/>
  <c r="L60" i="1" s="1"/>
  <c r="F58" i="1"/>
  <c r="T9" i="1" s="1"/>
  <c r="K74" i="1"/>
  <c r="K76" i="1" s="1"/>
  <c r="I58" i="1"/>
  <c r="I60" i="1" s="1"/>
  <c r="J58" i="1"/>
  <c r="J60" i="1" s="1"/>
  <c r="H74" i="1"/>
  <c r="H76" i="1" s="1"/>
  <c r="H58" i="1"/>
  <c r="K58" i="1"/>
  <c r="K60" i="1" s="1"/>
  <c r="C74" i="1"/>
  <c r="Q10" i="1" s="1"/>
  <c r="G76" i="1"/>
  <c r="G77" i="1" s="1"/>
  <c r="M76" i="1"/>
  <c r="C58" i="1"/>
  <c r="Q9" i="1" s="1"/>
  <c r="E74" i="1"/>
  <c r="S10" i="1" s="1"/>
  <c r="E58" i="1"/>
  <c r="S9" i="1" s="1"/>
  <c r="D58" i="1"/>
  <c r="R9" i="1" s="1"/>
  <c r="B74" i="1"/>
  <c r="P10" i="1" s="1"/>
  <c r="B58" i="1"/>
  <c r="P9" i="1" s="1"/>
  <c r="R11" i="1" l="1"/>
  <c r="D76" i="1"/>
  <c r="F76" i="1"/>
  <c r="T11" i="1"/>
  <c r="P11" i="1"/>
  <c r="M59" i="1"/>
  <c r="M60" i="1" s="1"/>
  <c r="M77" i="1" s="1"/>
  <c r="H60" i="1"/>
  <c r="H77" i="1" s="1"/>
  <c r="K77" i="1"/>
  <c r="J77" i="1"/>
  <c r="L77" i="1"/>
  <c r="I77" i="1"/>
  <c r="F60" i="1"/>
  <c r="C76" i="1"/>
  <c r="S11" i="1"/>
  <c r="Q11" i="1"/>
  <c r="C60" i="1"/>
  <c r="D60" i="1"/>
  <c r="E60" i="1"/>
  <c r="E76" i="1"/>
  <c r="B60" i="1"/>
  <c r="B76" i="1"/>
  <c r="D77" i="1" l="1"/>
  <c r="F77" i="1"/>
  <c r="C77" i="1"/>
  <c r="E77" i="1"/>
  <c r="B77" i="1"/>
  <c r="B78" i="1" s="1"/>
  <c r="B79" i="1" s="1"/>
  <c r="C78" i="1" l="1"/>
  <c r="C146" i="1" s="1"/>
  <c r="B146" i="1"/>
  <c r="B80" i="1" s="1"/>
  <c r="B81" i="1" s="1"/>
  <c r="D78" i="1" l="1"/>
  <c r="D146" i="1" s="1"/>
  <c r="B147" i="1"/>
  <c r="B148" i="1"/>
  <c r="C80" i="1"/>
  <c r="C79" i="1"/>
  <c r="E78" i="1" l="1"/>
  <c r="E146" i="1" s="1"/>
  <c r="B149" i="1"/>
  <c r="B88" i="1" s="1"/>
  <c r="B89" i="1" s="1"/>
  <c r="B92" i="1" s="1"/>
  <c r="B97" i="1" s="1"/>
  <c r="D80" i="1"/>
  <c r="D79" i="1"/>
  <c r="C81" i="1"/>
  <c r="D81" i="1" l="1"/>
  <c r="F78" i="1"/>
  <c r="P8" i="1" a="1"/>
  <c r="P8" i="1" s="1"/>
  <c r="P12" i="1" s="1"/>
  <c r="P13" i="1" s="1"/>
  <c r="P15" i="1" s="1"/>
  <c r="D2" i="2"/>
  <c r="D3" i="2" s="1"/>
  <c r="D4" i="2" s="1"/>
  <c r="D7" i="2"/>
  <c r="D8" i="2" s="1"/>
  <c r="D9" i="2" s="1"/>
  <c r="E79" i="1"/>
  <c r="E80" i="1"/>
  <c r="C147" i="1"/>
  <c r="C148" i="1"/>
  <c r="F146" i="1"/>
  <c r="G78" i="1"/>
  <c r="E81" i="1" l="1"/>
  <c r="C149" i="1"/>
  <c r="C88" i="1" s="1"/>
  <c r="C89" i="1" s="1"/>
  <c r="G146" i="1"/>
  <c r="H78" i="1"/>
  <c r="D11" i="2"/>
  <c r="B98" i="1"/>
  <c r="F80" i="1"/>
  <c r="F79" i="1"/>
  <c r="F81" i="1" l="1"/>
  <c r="B99" i="1"/>
  <c r="B102" i="1"/>
  <c r="B104" i="1" s="1"/>
  <c r="C92" i="1"/>
  <c r="C97" i="1" s="1"/>
  <c r="D148" i="1"/>
  <c r="D147" i="1"/>
  <c r="I78" i="1"/>
  <c r="H146" i="1"/>
  <c r="G79" i="1"/>
  <c r="G80" i="1"/>
  <c r="D149" i="1" l="1"/>
  <c r="D88" i="1" s="1"/>
  <c r="D89" i="1" s="1"/>
  <c r="E147" i="1" s="1"/>
  <c r="G81" i="1"/>
  <c r="D92" i="1"/>
  <c r="D97" i="1" s="1"/>
  <c r="B101" i="1"/>
  <c r="B103" i="1" s="1"/>
  <c r="P14" i="1"/>
  <c r="P16" i="1" s="1"/>
  <c r="H79" i="1"/>
  <c r="H80" i="1"/>
  <c r="J78" i="1"/>
  <c r="I146" i="1"/>
  <c r="Q8" i="1" a="1"/>
  <c r="Q8" i="1" s="1"/>
  <c r="Q12" i="1" s="1"/>
  <c r="Q13" i="1" s="1"/>
  <c r="Q15" i="1" s="1"/>
  <c r="E7" i="2"/>
  <c r="E8" i="2" s="1"/>
  <c r="E9" i="2" s="1"/>
  <c r="E2" i="2"/>
  <c r="E3" i="2" s="1"/>
  <c r="E4" i="2" s="1"/>
  <c r="E148" i="1" l="1"/>
  <c r="E149" i="1"/>
  <c r="E88" i="1" s="1"/>
  <c r="E89" i="1" s="1"/>
  <c r="F147" i="1" s="1"/>
  <c r="K78" i="1"/>
  <c r="J146" i="1"/>
  <c r="C98" i="1"/>
  <c r="E11" i="2"/>
  <c r="I79" i="1"/>
  <c r="I80" i="1"/>
  <c r="H81" i="1"/>
  <c r="F2" i="2"/>
  <c r="F3" i="2" s="1"/>
  <c r="F4" i="2" s="1"/>
  <c r="R8" i="1" a="1"/>
  <c r="R8" i="1" s="1"/>
  <c r="R12" i="1" s="1"/>
  <c r="R13" i="1" s="1"/>
  <c r="R15" i="1" s="1"/>
  <c r="F7" i="2"/>
  <c r="F8" i="2" s="1"/>
  <c r="F9" i="2" s="1"/>
  <c r="F148" i="1" l="1"/>
  <c r="F149" i="1" s="1"/>
  <c r="F88" i="1" s="1"/>
  <c r="F89" i="1" s="1"/>
  <c r="F92" i="1" s="1"/>
  <c r="F97" i="1" s="1"/>
  <c r="H2" i="2" s="1"/>
  <c r="H3" i="2" s="1"/>
  <c r="H4" i="2" s="1"/>
  <c r="E92" i="1"/>
  <c r="E97" i="1" s="1"/>
  <c r="I81" i="1"/>
  <c r="C99" i="1"/>
  <c r="C101" i="1" s="1"/>
  <c r="C103" i="1" s="1"/>
  <c r="C102" i="1"/>
  <c r="C104" i="1" s="1"/>
  <c r="Q14" i="1"/>
  <c r="Q16" i="1" s="1"/>
  <c r="J80" i="1"/>
  <c r="J79" i="1"/>
  <c r="K146" i="1"/>
  <c r="L78" i="1"/>
  <c r="F11" i="2"/>
  <c r="D98" i="1"/>
  <c r="G147" i="1" l="1"/>
  <c r="G148" i="1"/>
  <c r="T8" i="1" a="1"/>
  <c r="T8" i="1" s="1"/>
  <c r="T12" i="1" s="1"/>
  <c r="T13" i="1" s="1"/>
  <c r="H7" i="2"/>
  <c r="H8" i="2" s="1"/>
  <c r="H9" i="2" s="1"/>
  <c r="G7" i="2"/>
  <c r="G8" i="2" s="1"/>
  <c r="G9" i="2" s="1"/>
  <c r="S8" i="1" a="1"/>
  <c r="S8" i="1" s="1"/>
  <c r="S12" i="1" s="1"/>
  <c r="S13" i="1" s="1"/>
  <c r="S15" i="1" s="1"/>
  <c r="G2" i="2"/>
  <c r="G3" i="2" s="1"/>
  <c r="G4" i="2" s="1"/>
  <c r="D99" i="1"/>
  <c r="D101" i="1" s="1"/>
  <c r="D103" i="1" s="1"/>
  <c r="D102" i="1"/>
  <c r="D104" i="1" s="1"/>
  <c r="R14" i="1"/>
  <c r="R16" i="1" s="1"/>
  <c r="K79" i="1"/>
  <c r="K80" i="1"/>
  <c r="L146" i="1"/>
  <c r="M78" i="1"/>
  <c r="M146" i="1" s="1"/>
  <c r="J81" i="1"/>
  <c r="F98" i="1"/>
  <c r="G149" i="1" l="1"/>
  <c r="G88" i="1" s="1"/>
  <c r="G89" i="1" s="1"/>
  <c r="G92" i="1" s="1"/>
  <c r="G97" i="1" s="1"/>
  <c r="I7" i="2" s="1"/>
  <c r="I8" i="2" s="1"/>
  <c r="I9" i="2" s="1"/>
  <c r="E98" i="1"/>
  <c r="G11" i="2"/>
  <c r="H11" i="2"/>
  <c r="L80" i="1"/>
  <c r="M80" i="1" s="1"/>
  <c r="L79" i="1"/>
  <c r="K81" i="1"/>
  <c r="F102" i="1"/>
  <c r="F104" i="1" s="1"/>
  <c r="T14" i="1"/>
  <c r="H148" i="1" l="1"/>
  <c r="I2" i="2"/>
  <c r="I3" i="2" s="1"/>
  <c r="I4" i="2" s="1"/>
  <c r="I11" i="2" s="1"/>
  <c r="H147" i="1"/>
  <c r="E102" i="1"/>
  <c r="E104" i="1" s="1"/>
  <c r="E99" i="1"/>
  <c r="E101" i="1" s="1"/>
  <c r="E103" i="1" s="1"/>
  <c r="S14" i="1"/>
  <c r="S16" i="1" s="1"/>
  <c r="F99" i="1"/>
  <c r="T15" i="1" s="1"/>
  <c r="T16" i="1" s="1"/>
  <c r="L81" i="1"/>
  <c r="M79" i="1"/>
  <c r="M81" i="1" s="1"/>
  <c r="V16" i="1" l="1"/>
  <c r="W17" i="1" s="1"/>
  <c r="X17" i="1" s="1"/>
  <c r="H149" i="1"/>
  <c r="H88" i="1" s="1"/>
  <c r="H89" i="1" s="1"/>
  <c r="H92" i="1" s="1"/>
  <c r="H97" i="1" s="1"/>
  <c r="J2" i="2" s="1"/>
  <c r="J3" i="2" s="1"/>
  <c r="J4" i="2" s="1"/>
  <c r="G98" i="1"/>
  <c r="G99" i="1" s="1"/>
  <c r="F101" i="1"/>
  <c r="F103" i="1" s="1"/>
  <c r="J7" i="2" l="1"/>
  <c r="J8" i="2" s="1"/>
  <c r="J9" i="2" s="1"/>
  <c r="J11" i="2" s="1"/>
  <c r="I147" i="1"/>
  <c r="I148" i="1"/>
  <c r="G102" i="1"/>
  <c r="G104" i="1" s="1"/>
  <c r="G101" i="1"/>
  <c r="G103" i="1" s="1"/>
  <c r="H98" i="1"/>
  <c r="I149" i="1" l="1"/>
  <c r="I88" i="1" s="1"/>
  <c r="I89" i="1" s="1"/>
  <c r="I92" i="1" s="1"/>
  <c r="I97" i="1" s="1"/>
  <c r="K7" i="2" s="1"/>
  <c r="K8" i="2" s="1"/>
  <c r="K9" i="2" s="1"/>
  <c r="H102" i="1"/>
  <c r="H104" i="1" s="1"/>
  <c r="H99" i="1"/>
  <c r="H101" i="1" s="1"/>
  <c r="H103" i="1" s="1"/>
  <c r="J147" i="1" l="1"/>
  <c r="J148" i="1"/>
  <c r="K2" i="2"/>
  <c r="K3" i="2" s="1"/>
  <c r="K4" i="2" s="1"/>
  <c r="I98" i="1" s="1"/>
  <c r="I99" i="1" s="1"/>
  <c r="I101" i="1" s="1"/>
  <c r="I103" i="1" s="1"/>
  <c r="J149" i="1" l="1"/>
  <c r="J88" i="1" s="1"/>
  <c r="J89" i="1" s="1"/>
  <c r="K147" i="1" s="1"/>
  <c r="I102" i="1"/>
  <c r="I104" i="1" s="1"/>
  <c r="K11" i="2"/>
  <c r="K148" i="1" l="1"/>
  <c r="K149" i="1" s="1"/>
  <c r="K88" i="1" s="1"/>
  <c r="K89" i="1" s="1"/>
  <c r="L147" i="1" s="1"/>
  <c r="J92" i="1"/>
  <c r="J97" i="1" s="1"/>
  <c r="L7" i="2" s="1"/>
  <c r="L8" i="2" s="1"/>
  <c r="L9" i="2" s="1"/>
  <c r="L2" i="2"/>
  <c r="L3" i="2" s="1"/>
  <c r="L4" i="2" s="1"/>
  <c r="J98" i="1" s="1"/>
  <c r="J102" i="1" s="1"/>
  <c r="J104" i="1" s="1"/>
  <c r="K92" i="1" l="1"/>
  <c r="K97" i="1" s="1"/>
  <c r="M7" i="2" s="1"/>
  <c r="M8" i="2" s="1"/>
  <c r="M9" i="2" s="1"/>
  <c r="L148" i="1"/>
  <c r="L149" i="1" s="1"/>
  <c r="L88" i="1" s="1"/>
  <c r="L89" i="1" s="1"/>
  <c r="L92" i="1" s="1"/>
  <c r="L97" i="1" s="1"/>
  <c r="N7" i="2" s="1"/>
  <c r="N8" i="2" s="1"/>
  <c r="N9" i="2" s="1"/>
  <c r="L11" i="2"/>
  <c r="J99" i="1"/>
  <c r="J101" i="1" s="1"/>
  <c r="J103" i="1" s="1"/>
  <c r="M148" i="1" l="1"/>
  <c r="M147" i="1"/>
  <c r="N2" i="2"/>
  <c r="N3" i="2" s="1"/>
  <c r="N4" i="2" s="1"/>
  <c r="L98" i="1" s="1"/>
  <c r="M2" i="2"/>
  <c r="M3" i="2" s="1"/>
  <c r="M4" i="2" s="1"/>
  <c r="M11" i="2" s="1"/>
  <c r="M149" i="1"/>
  <c r="M88" i="1" s="1"/>
  <c r="M89" i="1" s="1"/>
  <c r="M92" i="1" s="1"/>
  <c r="M97" i="1" s="1"/>
  <c r="O2" i="2" s="1"/>
  <c r="O3" i="2" s="1"/>
  <c r="O4" i="2" s="1"/>
  <c r="N11" i="2" l="1"/>
  <c r="K98" i="1"/>
  <c r="K99" i="1" s="1"/>
  <c r="K101" i="1" s="1"/>
  <c r="K103" i="1" s="1"/>
  <c r="O7" i="2"/>
  <c r="O8" i="2" s="1"/>
  <c r="O9" i="2" s="1"/>
  <c r="O11" i="2" s="1"/>
  <c r="K102" i="1"/>
  <c r="K104" i="1" s="1"/>
  <c r="M98" i="1"/>
  <c r="L102" i="1"/>
  <c r="L104" i="1" s="1"/>
  <c r="L99" i="1" l="1"/>
  <c r="L101" i="1" s="1"/>
  <c r="L103" i="1" s="1"/>
  <c r="M102" i="1"/>
  <c r="M104" i="1" s="1"/>
  <c r="M99" i="1"/>
  <c r="M101" i="1" s="1"/>
  <c r="M103" i="1" s="1"/>
</calcChain>
</file>

<file path=xl/sharedStrings.xml><?xml version="1.0" encoding="utf-8"?>
<sst xmlns="http://schemas.openxmlformats.org/spreadsheetml/2006/main" count="828" uniqueCount="192">
  <si>
    <t>Conceptos Liquidados por el agente de retención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</si>
  <si>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</si>
  <si>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</si>
  <si>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</si>
  <si>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</si>
  <si>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</si>
  <si>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</si>
  <si>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</si>
  <si>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</si>
  <si>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</si>
  <si>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</si>
  <si>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</si>
  <si>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</si>
  <si>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Sueldo bruto</t>
  </si>
  <si>
    <t>Antigüedad</t>
  </si>
  <si>
    <t>Horas Extras Gravadas</t>
  </si>
  <si>
    <t xml:space="preserve">Horas Extras (diferencia exenta HS Extra - HS Comunes) </t>
  </si>
  <si>
    <t>Comisiones</t>
  </si>
  <si>
    <t>Plus Vacacional</t>
  </si>
  <si>
    <t>SAC</t>
  </si>
  <si>
    <t>Total conceptos remunerativos</t>
  </si>
  <si>
    <t xml:space="preserve">Conceptos no remunerativos habituales </t>
  </si>
  <si>
    <t xml:space="preserve">Conceptos no remunerativos no habituales </t>
  </si>
  <si>
    <t>Total conceptos no remunerativos</t>
  </si>
  <si>
    <t>Jubilación 11%</t>
  </si>
  <si>
    <t>Obra Social 3%</t>
  </si>
  <si>
    <t>Ley 19.032 3%</t>
  </si>
  <si>
    <t>Sindicato</t>
  </si>
  <si>
    <t>Total descuentos</t>
  </si>
  <si>
    <t>Remuneración Neta Mensual</t>
  </si>
  <si>
    <t>Pluriempleo (otros empleos)</t>
  </si>
  <si>
    <t xml:space="preserve">Retribuciones habituales no remunerativas </t>
  </si>
  <si>
    <t xml:space="preserve">Otras retribuciones no habituales remunerativas </t>
  </si>
  <si>
    <t xml:space="preserve">Retribuciones no habituales no remunerativas </t>
  </si>
  <si>
    <t>Conceptos Exentos</t>
  </si>
  <si>
    <t>Deducciones</t>
  </si>
  <si>
    <t>Ganancia Bruta</t>
  </si>
  <si>
    <t>Agente de Retención</t>
  </si>
  <si>
    <t xml:space="preserve">Retribuciones habituales remunerativas </t>
  </si>
  <si>
    <t xml:space="preserve">Retribuciones no habituales remunerativas </t>
  </si>
  <si>
    <t>Pluriempleo</t>
  </si>
  <si>
    <t>Subtotal Ganancia Bruta</t>
  </si>
  <si>
    <t>SAC Proporcional Bruto</t>
  </si>
  <si>
    <t>Ajuste SAC Semestral Bruto Real</t>
  </si>
  <si>
    <t>Total Ganancia Bruta</t>
  </si>
  <si>
    <t>Deducciones Generales</t>
  </si>
  <si>
    <t xml:space="preserve">Intereses de préstamos hipotecarios </t>
  </si>
  <si>
    <t>Alquiler de la casa habitación  (40% hasta el Tope MNI)</t>
  </si>
  <si>
    <t>Personal de casas particulares (Tope MNI)</t>
  </si>
  <si>
    <t>Viáticos corta y media distancia (Tope 40% MNI)</t>
  </si>
  <si>
    <t>Viáticos larga distancia (Tope MNI)</t>
  </si>
  <si>
    <t>Equipamiento e Indumentaria</t>
  </si>
  <si>
    <t>Subtotal deducciones generales</t>
  </si>
  <si>
    <t>Medicina Prepaga (Tope 5% GNSI)</t>
  </si>
  <si>
    <t>Donaciones  (Tope 5% GNSI)</t>
  </si>
  <si>
    <t>Total medicina prepaga y donaciones</t>
  </si>
  <si>
    <t>Deducciones Personales</t>
  </si>
  <si>
    <t>Mínimo no Imponible</t>
  </si>
  <si>
    <t>Cónyuge</t>
  </si>
  <si>
    <t>Hijos</t>
  </si>
  <si>
    <t>Hijos Incapacitados para el trabajo</t>
  </si>
  <si>
    <t xml:space="preserve">Deducción Especial Incrementada </t>
  </si>
  <si>
    <t>Deducción Especial Adicional (DEA) 1° Parte Mensual</t>
  </si>
  <si>
    <t>Deducción Especial Adicional (DEA) 1° Parte Acumulada</t>
  </si>
  <si>
    <t>Deducción Especial Adicional (DEA) 2° Parte Mensual</t>
  </si>
  <si>
    <t>Deducción Especial Adicional (DEA) 2° Parte Acumulada</t>
  </si>
  <si>
    <t>Total deducciones personales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</si>
  <si>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</si>
  <si>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</si>
  <si>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</si>
  <si>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</si>
  <si>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</si>
  <si>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</si>
  <si>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</si>
  <si>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</si>
  <si>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</si>
  <si>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</si>
  <si>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</si>
  <si>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</si>
  <si>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</si>
  <si>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Ganancia Neta Sujeta a Impuesto</t>
  </si>
  <si>
    <t>Datos declarados por el trabajador (F572 WEB)</t>
  </si>
  <si>
    <t>Cargas de familia</t>
  </si>
  <si>
    <t>Intereses de préstamos hipotecarios (Valor declarado)</t>
  </si>
  <si>
    <t>Alquiler de la casa habitación</t>
  </si>
  <si>
    <t>Alquiler de la casa habitación 40%</t>
  </si>
  <si>
    <t>Personal de casas particulares  (Valor declarado)</t>
  </si>
  <si>
    <t xml:space="preserve">Viáticos corta y media Distancia  </t>
  </si>
  <si>
    <t>Viáticos corta y media Distancia 40% MNI</t>
  </si>
  <si>
    <t xml:space="preserve">Viáticos larga distancia  </t>
  </si>
  <si>
    <t>Medicina Prepaga</t>
  </si>
  <si>
    <t>Donaciones</t>
  </si>
  <si>
    <t>Gastos Médicos</t>
  </si>
  <si>
    <t>Seguros</t>
  </si>
  <si>
    <t xml:space="preserve">Ganancia Neta antes de prepaga y donaciones  5% </t>
  </si>
  <si>
    <t>Base imponible</t>
  </si>
  <si>
    <t>Tramo sin horas extras</t>
  </si>
  <si>
    <t>Impuesto Determinado</t>
  </si>
  <si>
    <t>Tramos de escala (art. 94)</t>
  </si>
  <si>
    <t>Importes acumulados</t>
  </si>
  <si>
    <t>Mes</t>
  </si>
  <si>
    <t>Ganancia neta imponible acumulada</t>
  </si>
  <si>
    <t>Pagarán</t>
  </si>
  <si>
    <t>De más de $</t>
  </si>
  <si>
    <t>A $</t>
  </si>
  <si>
    <t>$</t>
  </si>
  <si>
    <t>Más el</t>
  </si>
  <si>
    <t>Sobre el excedente de $</t>
  </si>
  <si>
    <t>en adelante</t>
  </si>
  <si>
    <t>Setiembre</t>
  </si>
  <si>
    <t>Sueldo bruto 
mensual o
promedio</t>
  </si>
  <si>
    <t>Deducción</t>
  </si>
  <si>
    <t xml:space="preserve">Otros conceptos no habituales remunerativos  </t>
  </si>
  <si>
    <t>1- Bono Productividad alcanzado por la exención parcial</t>
  </si>
  <si>
    <t>Parte EXENTA</t>
  </si>
  <si>
    <t>Parte GRAVADA</t>
  </si>
  <si>
    <t>2- Bono Productividad gravado en su totalidad</t>
  </si>
  <si>
    <t>Total Bono Productividad GRAVADO</t>
  </si>
  <si>
    <t xml:space="preserve">Total Bono Productividad Agente Retención </t>
  </si>
  <si>
    <t>Total Bono Productividad Pluriempleo</t>
  </si>
  <si>
    <t xml:space="preserve">Total Bono Productividad </t>
  </si>
  <si>
    <t>Proporcionalidad Bono Productividad Agente Retención</t>
  </si>
  <si>
    <t>Proporcionalidad Bono Productividad  Pluriempleo</t>
  </si>
  <si>
    <t>Bono Productividad Gravado Agente de retención</t>
  </si>
  <si>
    <t>Bono Productividad Gravado Pluriempleo</t>
  </si>
  <si>
    <t>Supuesto empleado: siempre el bono de productividad es remunerativo</t>
  </si>
  <si>
    <t>Bono Productividad</t>
  </si>
  <si>
    <t>Ganancia Neta Sujeta a Impuesto (antes DEA del mes)</t>
  </si>
  <si>
    <r>
      <t xml:space="preserve">Retribuciones habituales remunerativas </t>
    </r>
    <r>
      <rPr>
        <sz val="11"/>
        <color theme="1"/>
        <rFont val="Calibri"/>
        <family val="2"/>
        <scheme val="minor"/>
      </rPr>
      <t>sin horas extras</t>
    </r>
  </si>
  <si>
    <t>Deducciones por recibo de haberes:</t>
  </si>
  <si>
    <t xml:space="preserve">Jubilación </t>
  </si>
  <si>
    <t xml:space="preserve">Obra Social </t>
  </si>
  <si>
    <t>Ley 19.032</t>
  </si>
  <si>
    <t>En % (completar)</t>
  </si>
  <si>
    <t>Supuesto: mes devengado = mes cobrado</t>
  </si>
  <si>
    <t>Ganancia Neta Mensual (antes de m. prepaga y donac.)</t>
  </si>
  <si>
    <t>Ganancia Neta Acumulada (antes de m. prepaga y donac.)</t>
  </si>
  <si>
    <t>Ganancia del mes a considerar</t>
  </si>
  <si>
    <t>Tomar el menor entre 124 Y 125</t>
  </si>
  <si>
    <t xml:space="preserve">Deducciones sobre SAC Proporcional </t>
  </si>
  <si>
    <t>Ajuste Deducciones SAC semestral real</t>
  </si>
  <si>
    <t>Meses en el año en que es carga de familia</t>
  </si>
  <si>
    <t>Hijo 1</t>
  </si>
  <si>
    <t>Hijo 2</t>
  </si>
  <si>
    <t>Hijo 3</t>
  </si>
  <si>
    <t>Hijo 4</t>
  </si>
  <si>
    <t>Hijo 5</t>
  </si>
  <si>
    <t>Hijo 6</t>
  </si>
  <si>
    <t>Hijo incapacitado 1</t>
  </si>
  <si>
    <t>Hijo incapacitado 2</t>
  </si>
  <si>
    <t>Hijo incapacitado 3</t>
  </si>
  <si>
    <t>Cónyuge o conviviente</t>
  </si>
  <si>
    <t>% que computa el/la trabajador/a</t>
  </si>
  <si>
    <t>*</t>
  </si>
  <si>
    <t>Pauta para aplicación de DEA</t>
  </si>
  <si>
    <t>Período Fiscal 2023</t>
  </si>
  <si>
    <t>Incluye modificaciones Decreto 267/2023 y RG AFIP 5358</t>
  </si>
  <si>
    <t>Pauta para aplicación exención SAC (promedio RBM)</t>
  </si>
  <si>
    <t>Promedio de Remuneracion Bruta Mensual p/DEA</t>
  </si>
  <si>
    <t>Aplicable desde ENE/23 h/dev ABR/23</t>
  </si>
  <si>
    <t>Fuente RECIBOS DE HABERES</t>
  </si>
  <si>
    <t>MODELO CÁLCULO RETENCIÓN MENSUAL DEL IMPUESTO A LAS GANANCIAS RG AFIP 4003-E y sus mod.</t>
  </si>
  <si>
    <t>Servicios y herramientas de Educación</t>
  </si>
  <si>
    <t>Viáticos larga distancia terrestre (Tope 4 MNI)</t>
  </si>
  <si>
    <t>Retención Acumulada según cálculo</t>
  </si>
  <si>
    <t>Retención Mensual según cálculo</t>
  </si>
  <si>
    <t>Retención Mensual según recibo de haberes</t>
  </si>
  <si>
    <t>Retención Acumulada según recibo de haberes</t>
  </si>
  <si>
    <t>Diferencia Retención Mensual</t>
  </si>
  <si>
    <t>Diferencia Retención Acumulada</t>
  </si>
  <si>
    <t>Incluye modificaciones Decreto 316/2023 y RG AFIP 5374</t>
  </si>
  <si>
    <t>Liquidación adicional devolución 1º SAC 2023 (Decreto 316/2023 y RG AFIP 5374)</t>
  </si>
  <si>
    <t>Ganancia Neta Sujeta a Impuesto (A)</t>
  </si>
  <si>
    <t>SAC Proporcional Neto (B)</t>
  </si>
  <si>
    <t>Ganancia Neta Sujeta a Impuesto Sin SAC (C ) = (A) - (B)</t>
  </si>
  <si>
    <t>Retención ACUMULADA mensual sobre (C )</t>
  </si>
  <si>
    <t>Retención total ACUMULADA mensual</t>
  </si>
  <si>
    <t>Retención sobre SAC Proporcional Neto a devolver en 2 cuotas</t>
  </si>
  <si>
    <t>TOTALES</t>
  </si>
  <si>
    <t>Importe de cada cuota a devolver</t>
  </si>
  <si>
    <t>CA</t>
  </si>
  <si>
    <t>Otros conceptos</t>
  </si>
  <si>
    <t>Deducciones sobre SAC</t>
  </si>
  <si>
    <t>Remuneración Bruta Mensual</t>
  </si>
  <si>
    <t>Devolución Mes</t>
  </si>
  <si>
    <t>Incluye modificaciones Decreto 414/2023, Decreto 415/2023 y RG AFIP 5402</t>
  </si>
  <si>
    <t>Resolución General AFIP 5280/2022</t>
  </si>
  <si>
    <t>Resolución General AFIP 5402/2023</t>
  </si>
  <si>
    <t>RESOLUCIÓN GENERAL AFIP 5280/2022</t>
  </si>
  <si>
    <t>RESOLUCIÓN GENERAL AFIP 5402/2023</t>
  </si>
  <si>
    <t>Aplicable desde devengado AGOSTO/23</t>
  </si>
  <si>
    <t>Aplicable desde devengado MAYO/23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</si>
</sst>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Protection="1">
      <protection locked="0"/>
    </xf>
    <xf numFmtId="4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4" fontId="2" fillId="0" borderId="0" xfId="0" applyNumberFormat="1" applyFont="1" applyAlignment="1">
      <alignment horizontal="center"/>
    </xf>
    <xf numFmtId="0" fontId="4" fillId="6" borderId="1" xfId="0" applyFont="1" applyFill="1" applyBorder="1" applyAlignment="1">
      <alignment horizontal="left"/>
    </xf>
    <xf numFmtId="0" fontId="2" fillId="6" borderId="1" xfId="0" applyFont="1" applyFill="1" applyBorder="1"/>
    <xf numFmtId="4" fontId="2" fillId="0" borderId="0" xfId="0" applyNumberFormat="1" applyFont="1"/>
    <xf numFmtId="0" fontId="2" fillId="4" borderId="0" xfId="0" applyFont="1" applyFill="1"/>
    <xf numFmtId="0" fontId="10" fillId="0" borderId="0" xfId="0" applyFont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6" xfId="0" applyFont="1" applyFill="1" applyBorder="1"/>
    <xf numFmtId="0" fontId="4" fillId="0" borderId="0" xfId="0" applyFont="1"/>
    <xf numFmtId="0" fontId="3" fillId="0" borderId="1" xfId="0" applyFont="1" applyBorder="1" applyAlignment="1">
      <alignment horizontal="left"/>
    </xf>
    <xf numFmtId="0" fontId="4" fillId="6" borderId="1" xfId="0" applyFont="1" applyFill="1" applyBorder="1"/>
    <xf numFmtId="0" fontId="1" fillId="7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8" borderId="1" xfId="0" applyFont="1" applyFill="1" applyBorder="1"/>
    <xf numFmtId="0" fontId="0" fillId="0" borderId="1" xfId="0" applyBorder="1" applyAlignment="1">
      <alignment horizontal="left"/>
    </xf>
    <xf numFmtId="4" fontId="1" fillId="7" borderId="1" xfId="0" applyNumberFormat="1" applyFont="1" applyFill="1" applyBorder="1" applyAlignment="1">
      <alignment horizontal="center"/>
    </xf>
    <xf numFmtId="0" fontId="0" fillId="0" borderId="27" xfId="0" applyBorder="1"/>
    <xf numFmtId="0" fontId="3" fillId="0" borderId="0" xfId="0" applyFont="1"/>
    <xf numFmtId="4" fontId="4" fillId="0" borderId="0" xfId="0" applyNumberFormat="1" applyFont="1" applyAlignment="1">
      <alignment horizontal="center"/>
    </xf>
    <xf numFmtId="4" fontId="3" fillId="0" borderId="0" xfId="0" applyNumberFormat="1" applyFont="1"/>
    <xf numFmtId="0" fontId="0" fillId="10" borderId="27" xfId="0" applyFill="1" applyBorder="1"/>
    <xf numFmtId="4" fontId="0" fillId="10" borderId="1" xfId="0" applyNumberFormat="1" applyFill="1" applyBorder="1"/>
    <xf numFmtId="0" fontId="0" fillId="11" borderId="1" xfId="0" applyFill="1" applyBorder="1"/>
    <xf numFmtId="4" fontId="0" fillId="11" borderId="1" xfId="0" applyNumberFormat="1" applyFill="1" applyBorder="1"/>
    <xf numFmtId="0" fontId="1" fillId="2" borderId="1" xfId="0" applyFont="1" applyFill="1" applyBorder="1" applyAlignment="1">
      <alignment horizontal="left"/>
    </xf>
    <xf numFmtId="0" fontId="1" fillId="0" borderId="0" xfId="0" applyFont="1"/>
    <xf numFmtId="4" fontId="0" fillId="0" borderId="0" xfId="0" applyNumberFormat="1" applyProtection="1"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4" fontId="4" fillId="3" borderId="1" xfId="0" applyNumberFormat="1" applyFont="1" applyFill="1" applyBorder="1"/>
    <xf numFmtId="0" fontId="4" fillId="9" borderId="1" xfId="0" applyFont="1" applyFill="1" applyBorder="1"/>
    <xf numFmtId="0" fontId="3" fillId="0" borderId="27" xfId="0" applyFont="1" applyBorder="1"/>
    <xf numFmtId="0" fontId="4" fillId="12" borderId="1" xfId="0" applyFont="1" applyFill="1" applyBorder="1" applyAlignment="1">
      <alignment horizontal="left"/>
    </xf>
    <xf numFmtId="0" fontId="2" fillId="12" borderId="1" xfId="0" applyFont="1" applyFill="1" applyBorder="1"/>
    <xf numFmtId="0" fontId="4" fillId="12" borderId="1" xfId="0" applyFont="1" applyFill="1" applyBorder="1"/>
    <xf numFmtId="0" fontId="4" fillId="13" borderId="1" xfId="0" applyFont="1" applyFill="1" applyBorder="1"/>
    <xf numFmtId="4" fontId="4" fillId="13" borderId="1" xfId="0" applyNumberFormat="1" applyFont="1" applyFill="1" applyBorder="1"/>
    <xf numFmtId="0" fontId="1" fillId="5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9" fillId="3" borderId="27" xfId="0" applyFont="1" applyFill="1" applyBorder="1" applyAlignment="1">
      <alignment horizontal="center" vertical="center" wrapText="1"/>
    </xf>
    <xf numFmtId="3" fontId="0" fillId="0" borderId="27" xfId="0" applyNumberFormat="1" applyBorder="1"/>
    <xf numFmtId="0" fontId="9" fillId="3" borderId="28" xfId="0" applyFont="1" applyFill="1" applyBorder="1" applyAlignment="1">
      <alignment horizontal="center" vertical="center" wrapText="1"/>
    </xf>
    <xf numFmtId="0" fontId="4" fillId="15" borderId="1" xfId="0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43" fontId="0" fillId="0" borderId="0" xfId="1" applyFont="1" applyFill="1" applyAlignment="1">
      <alignment vertical="center"/>
    </xf>
    <xf numFmtId="43" fontId="2" fillId="0" borderId="0" xfId="1" applyFont="1" applyFill="1" applyAlignment="1">
      <alignment vertical="center"/>
    </xf>
    <xf numFmtId="4" fontId="0" fillId="0" borderId="1" xfId="0" applyNumberFormat="1" applyBorder="1" applyProtection="1">
      <protection hidden="1"/>
    </xf>
    <xf numFmtId="4" fontId="3" fillId="0" borderId="1" xfId="0" applyNumberFormat="1" applyFont="1" applyBorder="1" applyProtection="1">
      <protection hidden="1"/>
    </xf>
    <xf numFmtId="4" fontId="3" fillId="14" borderId="1" xfId="0" applyNumberFormat="1" applyFont="1" applyFill="1" applyBorder="1" applyProtection="1">
      <protection hidden="1"/>
    </xf>
    <xf numFmtId="4" fontId="4" fillId="6" borderId="1" xfId="0" applyNumberFormat="1" applyFont="1" applyFill="1" applyBorder="1" applyAlignment="1" applyProtection="1">
      <alignment horizontal="right"/>
      <protection hidden="1"/>
    </xf>
    <xf numFmtId="4" fontId="2" fillId="6" borderId="1" xfId="0" applyNumberFormat="1" applyFont="1" applyFill="1" applyBorder="1" applyProtection="1">
      <protection hidden="1"/>
    </xf>
    <xf numFmtId="0" fontId="0" fillId="4" borderId="0" xfId="0" applyFill="1" applyProtection="1">
      <protection hidden="1"/>
    </xf>
    <xf numFmtId="4" fontId="2" fillId="4" borderId="0" xfId="0" applyNumberFormat="1" applyFont="1" applyFill="1" applyProtection="1">
      <protection hidden="1"/>
    </xf>
    <xf numFmtId="4" fontId="1" fillId="8" borderId="1" xfId="0" applyNumberFormat="1" applyFont="1" applyFill="1" applyBorder="1" applyProtection="1">
      <protection hidden="1"/>
    </xf>
    <xf numFmtId="4" fontId="4" fillId="0" borderId="0" xfId="0" applyNumberFormat="1" applyFont="1" applyProtection="1">
      <protection hidden="1"/>
    </xf>
    <xf numFmtId="4" fontId="1" fillId="5" borderId="1" xfId="0" applyNumberFormat="1" applyFont="1" applyFill="1" applyBorder="1" applyAlignment="1" applyProtection="1">
      <alignment horizontal="center"/>
      <protection hidden="1"/>
    </xf>
    <xf numFmtId="4" fontId="2" fillId="0" borderId="0" xfId="0" applyNumberFormat="1" applyFont="1" applyProtection="1">
      <protection hidden="1"/>
    </xf>
    <xf numFmtId="4" fontId="4" fillId="3" borderId="1" xfId="0" applyNumberFormat="1" applyFont="1" applyFill="1" applyBorder="1" applyProtection="1">
      <protection hidden="1"/>
    </xf>
    <xf numFmtId="4" fontId="1" fillId="7" borderId="1" xfId="0" applyNumberFormat="1" applyFont="1" applyFill="1" applyBorder="1" applyProtection="1">
      <protection hidden="1"/>
    </xf>
    <xf numFmtId="4" fontId="0" fillId="12" borderId="1" xfId="0" applyNumberFormat="1" applyFill="1" applyBorder="1" applyProtection="1">
      <protection hidden="1"/>
    </xf>
    <xf numFmtId="4" fontId="3" fillId="12" borderId="1" xfId="0" applyNumberFormat="1" applyFont="1" applyFill="1" applyBorder="1" applyProtection="1">
      <protection hidden="1"/>
    </xf>
    <xf numFmtId="4" fontId="4" fillId="6" borderId="1" xfId="0" applyNumberFormat="1" applyFont="1" applyFill="1" applyBorder="1" applyProtection="1">
      <protection hidden="1"/>
    </xf>
    <xf numFmtId="4" fontId="12" fillId="14" borderId="1" xfId="0" applyNumberFormat="1" applyFont="1" applyFill="1" applyBorder="1" applyProtection="1">
      <protection hidden="1"/>
    </xf>
    <xf numFmtId="4" fontId="1" fillId="5" borderId="1" xfId="0" applyNumberFormat="1" applyFont="1" applyFill="1" applyBorder="1" applyProtection="1">
      <protection hidden="1"/>
    </xf>
    <xf numFmtId="4" fontId="2" fillId="12" borderId="1" xfId="0" applyNumberFormat="1" applyFont="1" applyFill="1" applyBorder="1" applyProtection="1">
      <protection hidden="1"/>
    </xf>
    <xf numFmtId="4" fontId="4" fillId="13" borderId="1" xfId="0" applyNumberFormat="1" applyFont="1" applyFill="1" applyBorder="1" applyProtection="1">
      <protection hidden="1"/>
    </xf>
    <xf numFmtId="4" fontId="0" fillId="0" borderId="0" xfId="0" applyNumberFormat="1" applyProtection="1">
      <protection hidden="1"/>
    </xf>
    <xf numFmtId="4" fontId="1" fillId="2" borderId="24" xfId="0" applyNumberFormat="1" applyFont="1" applyFill="1" applyBorder="1" applyProtection="1">
      <protection hidden="1"/>
    </xf>
    <xf numFmtId="4" fontId="1" fillId="2" borderId="25" xfId="0" applyNumberFormat="1" applyFont="1" applyFill="1" applyBorder="1" applyProtection="1">
      <protection hidden="1"/>
    </xf>
    <xf numFmtId="4" fontId="1" fillId="2" borderId="2" xfId="0" applyNumberFormat="1" applyFont="1" applyFill="1" applyBorder="1" applyProtection="1">
      <protection hidden="1"/>
    </xf>
    <xf numFmtId="4" fontId="1" fillId="2" borderId="26" xfId="0" applyNumberFormat="1" applyFont="1" applyFill="1" applyBorder="1" applyProtection="1">
      <protection hidden="1"/>
    </xf>
    <xf numFmtId="4" fontId="0" fillId="0" borderId="1" xfId="0" applyNumberFormat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center" vertical="center"/>
      <protection hidden="1"/>
    </xf>
    <xf numFmtId="4" fontId="0" fillId="0" borderId="13" xfId="0" applyNumberForma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" fontId="0" fillId="0" borderId="0" xfId="0" applyNumberFormat="1" applyProtection="1">
      <protection locked="0"/>
    </xf>
    <xf numFmtId="0" fontId="13" fillId="0" borderId="0" xfId="0" applyFont="1"/>
    <xf numFmtId="0" fontId="12" fillId="0" borderId="0" xfId="0" applyFont="1"/>
    <xf numFmtId="4" fontId="0" fillId="0" borderId="1" xfId="0" applyNumberFormat="1" applyBorder="1" applyAlignment="1" applyProtection="1">
      <alignment wrapText="1"/>
      <protection hidden="1"/>
    </xf>
    <xf numFmtId="4" fontId="0" fillId="0" borderId="1" xfId="0" applyNumberFormat="1" applyBorder="1"/>
    <xf numFmtId="0" fontId="4" fillId="0" borderId="1" xfId="0" applyFont="1" applyBorder="1"/>
    <xf numFmtId="43" fontId="3" fillId="0" borderId="1" xfId="1" applyFont="1" applyFill="1" applyBorder="1" applyAlignment="1">
      <alignment vertical="center"/>
    </xf>
    <xf numFmtId="43" fontId="2" fillId="0" borderId="1" xfId="1" applyFont="1" applyFill="1" applyBorder="1" applyProtection="1">
      <protection hidden="1"/>
    </xf>
    <xf numFmtId="0" fontId="13" fillId="0" borderId="1" xfId="0" applyFont="1" applyBorder="1"/>
    <xf numFmtId="4" fontId="4" fillId="0" borderId="1" xfId="0" applyNumberFormat="1" applyFont="1" applyBorder="1" applyProtection="1">
      <protection hidden="1"/>
    </xf>
    <xf numFmtId="0" fontId="6" fillId="3" borderId="21" xfId="0" applyFont="1" applyFill="1" applyBorder="1" applyAlignment="1" applyProtection="1">
      <alignment horizontal="center" vertical="center" wrapText="1"/>
      <protection locked="0"/>
    </xf>
    <xf numFmtId="0" fontId="6" fillId="3" borderId="29" xfId="0" applyFont="1" applyFill="1" applyBorder="1" applyAlignment="1" applyProtection="1">
      <alignment horizontal="center" vertical="center" wrapText="1"/>
      <protection locked="0"/>
    </xf>
    <xf numFmtId="9" fontId="3" fillId="0" borderId="0" xfId="0" applyNumberFormat="1" applyFont="1" applyProtection="1">
      <protection locked="0"/>
    </xf>
    <xf numFmtId="9" fontId="0" fillId="0" borderId="0" xfId="0" applyNumberFormat="1"/>
    <xf numFmtId="9" fontId="3" fillId="0" borderId="0" xfId="2" applyFont="1" applyAlignment="1" applyProtection="1">
      <protection locked="0"/>
    </xf>
    <xf numFmtId="0" fontId="15" fillId="5" borderId="0" xfId="0" applyFont="1" applyFill="1"/>
    <xf numFmtId="0" fontId="14" fillId="5" borderId="0" xfId="0" applyFont="1" applyFill="1"/>
    <xf numFmtId="0" fontId="1" fillId="5" borderId="0" xfId="0" applyFont="1" applyFill="1" applyAlignment="1">
      <alignment horizontal="center" wrapText="1"/>
    </xf>
    <xf numFmtId="0" fontId="4" fillId="16" borderId="0" xfId="0" applyFont="1" applyFill="1"/>
    <xf numFmtId="3" fontId="3" fillId="16" borderId="0" xfId="0" applyNumberFormat="1" applyFont="1" applyFill="1" applyAlignment="1" applyProtection="1">
      <alignment horizontal="center"/>
      <protection locked="0"/>
    </xf>
    <xf numFmtId="4" fontId="4" fillId="16" borderId="0" xfId="0" applyNumberFormat="1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horizontal="center" wrapText="1"/>
    </xf>
    <xf numFmtId="0" fontId="3" fillId="9" borderId="0" xfId="0" applyFont="1" applyFill="1"/>
    <xf numFmtId="9" fontId="3" fillId="9" borderId="0" xfId="2" applyFont="1" applyFill="1" applyAlignment="1" applyProtection="1">
      <alignment horizontal="center"/>
      <protection locked="0"/>
    </xf>
    <xf numFmtId="3" fontId="3" fillId="9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/>
    <xf numFmtId="4" fontId="0" fillId="2" borderId="0" xfId="0" applyNumberFormat="1" applyFill="1" applyProtection="1">
      <protection hidden="1"/>
    </xf>
    <xf numFmtId="4" fontId="0" fillId="9" borderId="0" xfId="0" applyNumberFormat="1" applyFill="1" applyProtection="1">
      <protection hidden="1"/>
    </xf>
    <xf numFmtId="4" fontId="13" fillId="4" borderId="0" xfId="0" applyNumberFormat="1" applyFont="1" applyFill="1" applyAlignment="1" applyProtection="1">
      <alignment horizontal="center"/>
      <protection hidden="1"/>
    </xf>
    <xf numFmtId="4" fontId="1" fillId="2" borderId="1" xfId="0" applyNumberFormat="1" applyFont="1" applyFill="1" applyBorder="1" applyProtection="1">
      <protection locked="0" hidden="1"/>
    </xf>
    <xf numFmtId="4" fontId="0" fillId="0" borderId="1" xfId="0" applyNumberFormat="1" applyBorder="1" applyProtection="1">
      <protection locked="0" hidden="1"/>
    </xf>
    <xf numFmtId="17" fontId="2" fillId="0" borderId="0" xfId="0" applyNumberFormat="1" applyFont="1" applyAlignment="1">
      <alignment horizontal="center"/>
    </xf>
    <xf numFmtId="3" fontId="0" fillId="0" borderId="28" xfId="0" applyNumberFormat="1" applyBorder="1"/>
    <xf numFmtId="0" fontId="14" fillId="0" borderId="0" xfId="0" applyFont="1"/>
    <xf numFmtId="3" fontId="14" fillId="0" borderId="28" xfId="0" applyNumberFormat="1" applyFont="1" applyBorder="1"/>
    <xf numFmtId="0" fontId="1" fillId="2" borderId="0" xfId="0" applyFont="1" applyFill="1"/>
    <xf numFmtId="0" fontId="1" fillId="5" borderId="0" xfId="0" applyFont="1" applyFill="1"/>
    <xf numFmtId="17" fontId="1" fillId="5" borderId="0" xfId="0" applyNumberFormat="1" applyFont="1" applyFill="1" applyAlignment="1">
      <alignment horizontal="center"/>
    </xf>
    <xf numFmtId="3" fontId="12" fillId="0" borderId="28" xfId="0" applyNumberFormat="1" applyFont="1" applyBorder="1"/>
    <xf numFmtId="0" fontId="1" fillId="0" borderId="1" xfId="0" applyFont="1" applyBorder="1"/>
    <xf numFmtId="4" fontId="1" fillId="0" borderId="1" xfId="0" applyNumberFormat="1" applyFont="1" applyBorder="1" applyProtection="1">
      <protection locked="0" hidden="1"/>
    </xf>
    <xf numFmtId="4" fontId="3" fillId="3" borderId="1" xfId="0" applyNumberFormat="1" applyFont="1" applyFill="1" applyBorder="1"/>
    <xf numFmtId="4" fontId="3" fillId="3" borderId="1" xfId="0" applyNumberFormat="1" applyFont="1" applyFill="1" applyBorder="1" applyProtection="1">
      <protection hidden="1"/>
    </xf>
    <xf numFmtId="4" fontId="4" fillId="3" borderId="1" xfId="0" applyNumberFormat="1" applyFont="1" applyFill="1" applyBorder="1" applyProtection="1">
      <protection locked="0" hidden="1"/>
    </xf>
    <xf numFmtId="4" fontId="3" fillId="0" borderId="1" xfId="0" applyNumberFormat="1" applyFont="1" applyBorder="1" applyProtection="1">
      <protection locked="0" hidden="1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4" fontId="1" fillId="2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" fontId="0" fillId="0" borderId="1" xfId="0" applyNumberFormat="1" applyBorder="1" applyAlignment="1" applyProtection="1">
      <alignment horizontal="center"/>
      <protection hidden="1"/>
    </xf>
    <xf numFmtId="0" fontId="0" fillId="11" borderId="0" xfId="0" applyFill="1" applyAlignment="1" applyProtection="1">
      <alignment horizontal="center"/>
      <protection hidden="1"/>
    </xf>
    <xf numFmtId="4" fontId="0" fillId="11" borderId="0" xfId="0" applyNumberFormat="1" applyFill="1" applyAlignment="1" applyProtection="1">
      <alignment horizontal="center"/>
      <protection hidden="1"/>
    </xf>
    <xf numFmtId="43" fontId="0" fillId="11" borderId="0" xfId="0" applyNumberFormat="1" applyFill="1" applyAlignment="1" applyProtection="1">
      <alignment horizontal="center"/>
      <protection hidden="1"/>
    </xf>
    <xf numFmtId="43" fontId="2" fillId="0" borderId="36" xfId="0" applyNumberFormat="1" applyFont="1" applyBorder="1" applyAlignment="1" applyProtection="1">
      <alignment horizontal="center"/>
      <protection hidden="1"/>
    </xf>
    <xf numFmtId="43" fontId="2" fillId="0" borderId="1" xfId="1" applyFont="1" applyBorder="1" applyAlignment="1" applyProtection="1">
      <alignment horizontal="center"/>
      <protection hidden="1"/>
    </xf>
    <xf numFmtId="0" fontId="6" fillId="3" borderId="21" xfId="0" applyFont="1" applyFill="1" applyBorder="1" applyAlignment="1" applyProtection="1">
      <alignment horizontal="center" vertical="center" wrapText="1"/>
      <protection hidden="1"/>
    </xf>
    <xf numFmtId="0" fontId="6" fillId="3" borderId="29" xfId="0" applyFont="1" applyFill="1" applyBorder="1" applyAlignment="1" applyProtection="1">
      <alignment horizontal="center" vertical="center" wrapText="1"/>
      <protection hidden="1"/>
    </xf>
    <xf numFmtId="0" fontId="7" fillId="0" borderId="31" xfId="0" applyFont="1" applyBorder="1" applyAlignment="1" applyProtection="1">
      <alignment horizontal="center" vertical="center" wrapText="1"/>
      <protection hidden="1"/>
    </xf>
    <xf numFmtId="4" fontId="7" fillId="0" borderId="13" xfId="0" applyNumberFormat="1" applyFont="1" applyBorder="1" applyAlignment="1" applyProtection="1">
      <alignment horizontal="center" vertical="center" wrapText="1"/>
      <protection hidden="1"/>
    </xf>
    <xf numFmtId="9" fontId="7" fillId="0" borderId="31" xfId="0" applyNumberFormat="1" applyFont="1" applyBorder="1" applyAlignment="1" applyProtection="1">
      <alignment horizontal="center" vertical="center" wrapText="1"/>
      <protection hidden="1"/>
    </xf>
    <xf numFmtId="0" fontId="7" fillId="0" borderId="32" xfId="0" applyFont="1" applyBorder="1" applyAlignment="1" applyProtection="1">
      <alignment horizontal="center" vertical="center" wrapText="1"/>
      <protection hidden="1"/>
    </xf>
    <xf numFmtId="9" fontId="7" fillId="0" borderId="13" xfId="0" applyNumberFormat="1" applyFont="1" applyBorder="1" applyAlignment="1" applyProtection="1">
      <alignment horizontal="center" vertical="center" wrapText="1"/>
      <protection hidden="1"/>
    </xf>
    <xf numFmtId="0" fontId="7" fillId="0" borderId="35" xfId="0" applyFont="1" applyBorder="1" applyAlignment="1" applyProtection="1">
      <alignment horizontal="center" vertical="center" wrapText="1"/>
      <protection hidden="1"/>
    </xf>
    <xf numFmtId="9" fontId="7" fillId="0" borderId="35" xfId="0" applyNumberFormat="1" applyFont="1" applyBorder="1" applyAlignment="1" applyProtection="1">
      <alignment horizontal="center" vertical="center" wrapText="1"/>
      <protection hidden="1"/>
    </xf>
    <xf numFmtId="0" fontId="6" fillId="3" borderId="37" xfId="0" applyFont="1" applyFill="1" applyBorder="1" applyAlignment="1" applyProtection="1">
      <alignment horizontal="center" vertical="center" wrapText="1"/>
      <protection hidden="1"/>
    </xf>
    <xf numFmtId="0" fontId="6" fillId="3" borderId="38" xfId="0" applyFont="1" applyFill="1" applyBorder="1" applyAlignment="1" applyProtection="1">
      <alignment horizontal="center" vertical="center" wrapText="1"/>
      <protection hidden="1"/>
    </xf>
    <xf numFmtId="0" fontId="6" fillId="3" borderId="39" xfId="0" applyFont="1" applyFill="1" applyBorder="1" applyAlignment="1" applyProtection="1">
      <alignment horizontal="center" vertical="center" wrapText="1"/>
      <protection hidden="1"/>
    </xf>
    <xf numFmtId="0" fontId="6" fillId="3" borderId="40" xfId="0" applyFont="1" applyFill="1" applyBorder="1" applyAlignment="1" applyProtection="1">
      <alignment horizontal="center" vertical="center" wrapText="1"/>
      <protection hidden="1"/>
    </xf>
    <xf numFmtId="0" fontId="6" fillId="3" borderId="41" xfId="0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locked="0"/>
    </xf>
    <xf numFmtId="43" fontId="0" fillId="0" borderId="1" xfId="1" applyFont="1" applyBorder="1" applyProtection="1">
      <protection locked="0"/>
    </xf>
    <xf numFmtId="4" fontId="3" fillId="0" borderId="1" xfId="0" applyNumberFormat="1" applyFont="1" applyFill="1" applyBorder="1" applyProtection="1">
      <protection locked="0"/>
    </xf>
    <xf numFmtId="43" fontId="0" fillId="0" borderId="0" xfId="1" applyFont="1" applyProtection="1">
      <protection locked="0"/>
    </xf>
    <xf numFmtId="4" fontId="2" fillId="0" borderId="0" xfId="0" applyNumberFormat="1" applyFont="1" applyProtection="1">
      <protection locked="0"/>
    </xf>
    <xf numFmtId="4" fontId="0" fillId="0" borderId="0" xfId="0" applyNumberFormat="1" applyBorder="1" applyAlignment="1" applyProtection="1">
      <alignment horizontal="center" vertical="center"/>
      <protection hidden="1"/>
    </xf>
    <xf numFmtId="0" fontId="2" fillId="0" borderId="0" xfId="0" applyFont="1" applyFill="1"/>
    <xf numFmtId="0" fontId="0" fillId="5" borderId="0" xfId="0" applyFill="1"/>
    <xf numFmtId="4" fontId="0" fillId="0" borderId="10" xfId="0" applyNumberFormat="1" applyBorder="1" applyAlignment="1" applyProtection="1">
      <alignment horizontal="center" vertical="center"/>
      <protection hidden="1"/>
    </xf>
    <xf numFmtId="0" fontId="7" fillId="0" borderId="30" xfId="0" applyFont="1" applyBorder="1" applyAlignment="1" applyProtection="1">
      <alignment horizontal="center" vertical="center" wrapText="1"/>
      <protection hidden="1"/>
    </xf>
    <xf numFmtId="0" fontId="7" fillId="0" borderId="33" xfId="0" applyFont="1" applyBorder="1" applyAlignment="1" applyProtection="1">
      <alignment horizontal="center" vertical="center" wrapText="1"/>
      <protection hidden="1"/>
    </xf>
    <xf numFmtId="0" fontId="7" fillId="0" borderId="34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right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3" borderId="14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4" fillId="15" borderId="15" xfId="0" applyFont="1" applyFill="1" applyBorder="1" applyAlignment="1">
      <alignment horizontal="center"/>
    </xf>
    <xf numFmtId="0" fontId="4" fillId="15" borderId="16" xfId="0" applyFont="1" applyFill="1" applyBorder="1" applyAlignment="1">
      <alignment horizontal="center"/>
    </xf>
    <xf numFmtId="0" fontId="4" fillId="15" borderId="19" xfId="0" applyFont="1" applyFill="1" applyBorder="1" applyAlignment="1">
      <alignment horizontal="center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15" borderId="45" xfId="0" applyFont="1" applyFill="1" applyBorder="1" applyAlignment="1">
      <alignment horizontal="center"/>
    </xf>
    <xf numFmtId="0" fontId="4" fillId="15" borderId="46" xfId="0" applyFont="1" applyFill="1" applyBorder="1" applyAlignment="1">
      <alignment horizontal="center"/>
    </xf>
    <xf numFmtId="0" fontId="4" fillId="15" borderId="47" xfId="0" applyFont="1" applyFill="1" applyBorder="1" applyAlignment="1">
      <alignment horizontal="center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7" fillId="18" borderId="30" xfId="0" applyFont="1" applyFill="1" applyBorder="1" applyAlignment="1" applyProtection="1">
      <alignment horizontal="center" vertical="center" wrapText="1"/>
      <protection locked="0" hidden="1"/>
    </xf>
    <xf numFmtId="0" fontId="7" fillId="18" borderId="33" xfId="0" applyFont="1" applyFill="1" applyBorder="1" applyAlignment="1" applyProtection="1">
      <alignment horizontal="center" vertical="center" wrapText="1"/>
      <protection locked="0" hidden="1"/>
    </xf>
    <xf numFmtId="0" fontId="7" fillId="18" borderId="34" xfId="0" applyFont="1" applyFill="1" applyBorder="1" applyAlignment="1" applyProtection="1">
      <alignment horizontal="center" vertical="center" wrapText="1"/>
      <protection locked="0" hidden="1"/>
    </xf>
    <xf numFmtId="0" fontId="7" fillId="0" borderId="30" xfId="0" applyFont="1" applyBorder="1" applyAlignment="1" applyProtection="1">
      <alignment horizontal="center" vertical="center" wrapText="1"/>
      <protection locked="0" hidden="1"/>
    </xf>
    <xf numFmtId="9" fontId="7" fillId="0" borderId="31" xfId="0" applyNumberFormat="1" applyFont="1" applyBorder="1" applyAlignment="1" applyProtection="1">
      <alignment horizontal="center" vertical="center" wrapText="1"/>
      <protection locked="0" hidden="1"/>
    </xf>
    <xf numFmtId="0" fontId="7" fillId="0" borderId="33" xfId="0" applyFont="1" applyBorder="1" applyAlignment="1" applyProtection="1">
      <alignment horizontal="center" vertical="center" wrapText="1"/>
      <protection locked="0" hidden="1"/>
    </xf>
    <xf numFmtId="9" fontId="7" fillId="0" borderId="13" xfId="0" applyNumberFormat="1" applyFont="1" applyBorder="1" applyAlignment="1" applyProtection="1">
      <alignment horizontal="center" vertical="center" wrapText="1"/>
      <protection locked="0" hidden="1"/>
    </xf>
    <xf numFmtId="0" fontId="7" fillId="0" borderId="34" xfId="0" applyFont="1" applyBorder="1" applyAlignment="1" applyProtection="1">
      <alignment horizontal="center" vertical="center" wrapText="1"/>
      <protection locked="0" hidden="1"/>
    </xf>
    <xf numFmtId="0" fontId="7" fillId="0" borderId="35" xfId="0" applyFont="1" applyBorder="1" applyAlignment="1" applyProtection="1">
      <alignment horizontal="center" vertical="center" wrapText="1"/>
      <protection locked="0" hidden="1"/>
    </xf>
    <xf numFmtId="9" fontId="7" fillId="0" borderId="35" xfId="0" applyNumberFormat="1" applyFont="1" applyBorder="1" applyAlignment="1" applyProtection="1">
      <alignment horizontal="center" vertical="center" wrapText="1"/>
      <protection locked="0" hidden="1"/>
    </xf>
    <xf numFmtId="0" fontId="7" fillId="17" borderId="30" xfId="0" applyFont="1" applyFill="1" applyBorder="1" applyAlignment="1" applyProtection="1">
      <alignment horizontal="center" vertical="center" wrapText="1"/>
      <protection locked="0" hidden="1"/>
    </xf>
    <xf numFmtId="9" fontId="7" fillId="17" borderId="31" xfId="0" applyNumberFormat="1" applyFont="1" applyFill="1" applyBorder="1" applyAlignment="1" applyProtection="1">
      <alignment horizontal="center" vertical="center" wrapText="1"/>
      <protection locked="0" hidden="1"/>
    </xf>
    <xf numFmtId="0" fontId="7" fillId="17" borderId="33" xfId="0" applyFont="1" applyFill="1" applyBorder="1" applyAlignment="1" applyProtection="1">
      <alignment horizontal="center" vertical="center" wrapText="1"/>
      <protection locked="0" hidden="1"/>
    </xf>
    <xf numFmtId="9" fontId="7" fillId="17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7" fillId="17" borderId="34" xfId="0" applyFont="1" applyFill="1" applyBorder="1" applyAlignment="1" applyProtection="1">
      <alignment horizontal="center" vertical="center" wrapText="1"/>
      <protection locked="0" hidden="1"/>
    </xf>
    <xf numFmtId="0" fontId="7" fillId="17" borderId="35" xfId="0" applyFont="1" applyFill="1" applyBorder="1" applyAlignment="1" applyProtection="1">
      <alignment horizontal="center" vertical="center" wrapText="1"/>
      <protection locked="0" hidden="1"/>
    </xf>
    <xf numFmtId="9" fontId="7" fillId="17" borderId="35" xfId="0" applyNumberFormat="1" applyFont="1" applyFill="1" applyBorder="1" applyAlignment="1" applyProtection="1">
      <alignment horizontal="center" vertical="center" wrapText="1"/>
      <protection locked="0" hidden="1"/>
    </xf>
    <xf numFmtId="9" fontId="7" fillId="0" borderId="13" xfId="0" applyNumberFormat="1" applyFont="1" applyFill="1" applyBorder="1" applyAlignment="1" applyProtection="1">
      <alignment horizontal="center" vertical="center" wrapText="1"/>
      <protection locked="0" hidden="1"/>
    </xf>
    <xf numFmtId="43" fontId="7" fillId="17" borderId="31" xfId="1" applyFont="1" applyFill="1" applyBorder="1" applyAlignment="1" applyProtection="1">
      <alignment horizontal="center" vertical="center" wrapText="1"/>
      <protection locked="0" hidden="1"/>
    </xf>
    <xf numFmtId="43" fontId="7" fillId="0" borderId="31" xfId="1" applyFont="1" applyBorder="1" applyAlignment="1" applyProtection="1">
      <alignment horizontal="center" vertical="center" wrapText="1"/>
      <protection locked="0" hidden="1"/>
    </xf>
    <xf numFmtId="43" fontId="7" fillId="0" borderId="31" xfId="1" applyFont="1" applyFill="1" applyBorder="1" applyAlignment="1" applyProtection="1">
      <alignment horizontal="center" vertical="center" wrapText="1"/>
      <protection locked="0" hidden="1"/>
    </xf>
    <xf numFmtId="0" fontId="6" fillId="12" borderId="42" xfId="0" applyFont="1" applyFill="1" applyBorder="1" applyAlignment="1" applyProtection="1">
      <alignment horizontal="center" vertical="center" wrapText="1"/>
      <protection hidden="1"/>
    </xf>
    <xf numFmtId="0" fontId="6" fillId="12" borderId="43" xfId="0" applyFont="1" applyFill="1" applyBorder="1" applyAlignment="1" applyProtection="1">
      <alignment horizontal="center" vertical="center" wrapText="1"/>
      <protection hidden="1"/>
    </xf>
    <xf numFmtId="0" fontId="6" fillId="12" borderId="44" xfId="0" applyFont="1" applyFill="1" applyBorder="1" applyAlignment="1" applyProtection="1">
      <alignment horizontal="center" vertical="center" wrapText="1"/>
      <protection hidden="1"/>
    </xf>
    <xf numFmtId="0" fontId="7" fillId="18" borderId="31" xfId="0" applyFont="1" applyFill="1" applyBorder="1" applyAlignment="1" applyProtection="1">
      <alignment horizontal="center" vertical="center" wrapText="1"/>
      <protection hidden="1"/>
    </xf>
    <xf numFmtId="4" fontId="7" fillId="18" borderId="13" xfId="0" applyNumberFormat="1" applyFont="1" applyFill="1" applyBorder="1" applyAlignment="1" applyProtection="1">
      <alignment horizontal="center" vertical="center" wrapText="1"/>
      <protection hidden="1"/>
    </xf>
    <xf numFmtId="9" fontId="7" fillId="18" borderId="31" xfId="0" applyNumberFormat="1" applyFont="1" applyFill="1" applyBorder="1" applyAlignment="1" applyProtection="1">
      <alignment horizontal="center" vertical="center" wrapText="1"/>
      <protection hidden="1"/>
    </xf>
    <xf numFmtId="0" fontId="7" fillId="18" borderId="32" xfId="0" applyFont="1" applyFill="1" applyBorder="1" applyAlignment="1" applyProtection="1">
      <alignment horizontal="center" vertical="center" wrapText="1"/>
      <protection hidden="1"/>
    </xf>
    <xf numFmtId="9" fontId="7" fillId="18" borderId="13" xfId="0" applyNumberFormat="1" applyFont="1" applyFill="1" applyBorder="1" applyAlignment="1" applyProtection="1">
      <alignment horizontal="center" vertical="center" wrapText="1"/>
      <protection hidden="1"/>
    </xf>
    <xf numFmtId="0" fontId="7" fillId="18" borderId="35" xfId="0" applyFont="1" applyFill="1" applyBorder="1" applyAlignment="1" applyProtection="1">
      <alignment horizontal="center" vertical="center" wrapText="1"/>
      <protection hidden="1"/>
    </xf>
    <xf numFmtId="9" fontId="7" fillId="18" borderId="35" xfId="0" applyNumberFormat="1" applyFont="1" applyFill="1" applyBorder="1" applyAlignment="1" applyProtection="1">
      <alignment horizontal="center" vertical="center" wrapText="1"/>
      <protection hidden="1"/>
    </xf>
    <xf numFmtId="0" fontId="7" fillId="17" borderId="31" xfId="0" applyFont="1" applyFill="1" applyBorder="1" applyAlignment="1" applyProtection="1">
      <alignment horizontal="center" vertical="center" wrapText="1"/>
      <protection hidden="1"/>
    </xf>
    <xf numFmtId="4" fontId="7" fillId="17" borderId="13" xfId="0" applyNumberFormat="1" applyFont="1" applyFill="1" applyBorder="1" applyAlignment="1" applyProtection="1">
      <alignment horizontal="center" vertical="center" wrapText="1"/>
      <protection hidden="1"/>
    </xf>
    <xf numFmtId="9" fontId="7" fillId="17" borderId="31" xfId="0" applyNumberFormat="1" applyFont="1" applyFill="1" applyBorder="1" applyAlignment="1" applyProtection="1">
      <alignment horizontal="center" vertical="center" wrapText="1"/>
      <protection hidden="1"/>
    </xf>
    <xf numFmtId="0" fontId="7" fillId="17" borderId="32" xfId="0" applyFont="1" applyFill="1" applyBorder="1" applyAlignment="1" applyProtection="1">
      <alignment horizontal="center" vertical="center" wrapText="1"/>
      <protection hidden="1"/>
    </xf>
    <xf numFmtId="9" fontId="7" fillId="17" borderId="13" xfId="0" applyNumberFormat="1" applyFont="1" applyFill="1" applyBorder="1" applyAlignment="1" applyProtection="1">
      <alignment horizontal="center" vertical="center" wrapText="1"/>
      <protection hidden="1"/>
    </xf>
    <xf numFmtId="0" fontId="7" fillId="17" borderId="35" xfId="0" applyFont="1" applyFill="1" applyBorder="1" applyAlignment="1" applyProtection="1">
      <alignment horizontal="center" vertical="center" wrapText="1"/>
      <protection hidden="1"/>
    </xf>
    <xf numFmtId="9" fontId="7" fillId="17" borderId="35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13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0" fontId="9" fillId="3" borderId="27" xfId="0" applyFont="1" applyFill="1" applyBorder="1" applyAlignment="1" applyProtection="1">
      <alignment horizontal="center" vertical="center" wrapText="1"/>
      <protection hidden="1"/>
    </xf>
    <xf numFmtId="0" fontId="9" fillId="3" borderId="28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3" fontId="0" fillId="0" borderId="27" xfId="0" applyNumberFormat="1" applyBorder="1" applyProtection="1">
      <protection hidden="1"/>
    </xf>
    <xf numFmtId="3" fontId="0" fillId="0" borderId="28" xfId="0" applyNumberFormat="1" applyBorder="1" applyProtection="1">
      <protection hidden="1"/>
    </xf>
    <xf numFmtId="3" fontId="14" fillId="0" borderId="28" xfId="0" applyNumberFormat="1" applyFont="1" applyBorder="1" applyProtection="1">
      <protection hidden="1"/>
    </xf>
  </cellXfs>
  <cellStyles count="3">
    <cellStyle name="Millares" xfId="1" builtinId="3"/>
    <cellStyle name="Normal" xfId="0" builtinId="0"/>
    <cellStyle name="Porcentaje" xfId="2" builtinId="5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8E0000"/>
      <color rgb="FFFDBBB9"/>
      <color rgb="FFC42308"/>
      <color rgb="FFD21E10"/>
      <color rgb="FFBC5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4257638</xdr:colOff>
      <xdr:row>3</xdr:row>
      <xdr:rowOff>53340</xdr:rowOff>
    </xdr:to>
    <xdr:pic>
      <xdr:nvPicPr>
        <xdr:cNvPr id="3" name="Imagen 2" descr="https://trivia.consejo.org.ar/static/images/logos_juntos_centrar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127567</xdr:colOff>
      <xdr:row>0</xdr:row>
      <xdr:rowOff>25514</xdr:rowOff>
    </xdr:from>
    <xdr:to>
      <xdr:col>15</xdr:col>
      <xdr:colOff>234519</xdr:colOff>
      <xdr:row>3</xdr:row>
      <xdr:rowOff>78854</xdr:rowOff>
    </xdr:to>
    <xdr:pic>
      <xdr:nvPicPr>
        <xdr:cNvPr id="2" name="Imagen 1" descr="https://trivia.consejo.org.ar/static/images/logos_juntos_centrar.png">
          <a:extLst>
            <a:ext uri="{FF2B5EF4-FFF2-40B4-BE49-F238E27FC236}">
              <a16:creationId xmlns:a16="http://schemas.microsoft.com/office/drawing/2014/main" id="{9A45769F-50BB-4680-901A-1F61D69D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2813" y="25514"/>
          <a:ext cx="4104050" cy="614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6:M97" totalsRowShown="0" headerRowDxfId="15" dataDxfId="14" tableBorderDxfId="13">
  <autoFilter ref="A96:M97"/>
  <tableColumns count="13">
    <tableColumn id="1" name="Columna1" dataDxfId="12"/>
    <tableColumn id="2" name="Columna2" dataDxfId="11">
      <calculatedColumnFormula>IF(($B$78-$B$81-$B$92)&gt;0,$B$78-$B$81-$B$92,0)</calculatedColumnFormula>
    </tableColumn>
    <tableColumn id="3" name="Columna3" dataDxfId="10">
      <calculatedColumnFormula>IF(($C$78-$C$81-$C$92)&gt;0,$C$78-$C$81-$C$92,0)</calculatedColumnFormula>
    </tableColumn>
    <tableColumn id="4" name="Columna4" dataDxfId="9">
      <calculatedColumnFormula>IF(($D$78-$D$81-$D$92)&gt;0,$D$78-$D$81-$D$92,0)</calculatedColumnFormula>
    </tableColumn>
    <tableColumn id="5" name="Columna5" dataDxfId="8">
      <calculatedColumnFormula>IF(($E$78-$E$81-$E$92)&gt;0,$E$78-$E$81-$E$92,0)</calculatedColumnFormula>
    </tableColumn>
    <tableColumn id="6" name="Columna6" dataDxfId="7">
      <calculatedColumnFormula>IF(($F$78-$F$81-$F$92)&gt;0,$F$78-$F$81-$F$92,0)</calculatedColumnFormula>
    </tableColumn>
    <tableColumn id="7" name="Columna7" dataDxfId="6">
      <calculatedColumnFormula>IF(($G$78-$G$81-$G$92)&gt;0,$G$78-$G$81-$G$92,0)</calculatedColumnFormula>
    </tableColumn>
    <tableColumn id="8" name="Columna8" dataDxfId="5">
      <calculatedColumnFormula>IF(($H$78-$H$81-$H$92)&gt;0,$H$78-$H$81-$H$92,0)</calculatedColumnFormula>
    </tableColumn>
    <tableColumn id="9" name="Columna9" dataDxfId="4">
      <calculatedColumnFormula>IF(($I$78-$I$81-$I$92)&gt;0,$I$78-$I$81-$I$92,0)</calculatedColumnFormula>
    </tableColumn>
    <tableColumn id="10" name="Columna10" dataDxfId="3">
      <calculatedColumnFormula>IF(($J$78-$J$81-$J$92)&gt;0,$J$78-$J$81-$J$92,0)</calculatedColumnFormula>
    </tableColumn>
    <tableColumn id="11" name="Columna11" dataDxfId="2">
      <calculatedColumnFormula>IF(($K$78-$K$81-$K$92)&gt;0,$K$78-$K$81-$K$92,0)</calculatedColumnFormula>
    </tableColumn>
    <tableColumn id="12" name="Columna12" dataDxfId="1">
      <calculatedColumnFormula>IF(($L$78-$L$81-$L$92)&gt;0,$L$78-$L$81-$L$92,0)</calculatedColumnFormula>
    </tableColumn>
    <tableColumn id="13" name="Columna13" dataDxfId="0">
      <calculatedColumnFormula>IF(($M$78-$M$81-$M$92)&gt;0,$M$78-$M$81-$M$92,0)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2"/>
  <sheetViews>
    <sheetView showGridLines="0" tabSelected="1" zoomScale="90" zoomScaleNormal="90" workbookViewId="0">
      <selection activeCell="H7" sqref="H7:M7"/>
    </sheetView>
  </sheetViews>
  <sheetFormatPr baseColWidth="10" defaultColWidth="11.42578125" defaultRowHeight="15" x14ac:dyDescent="0.25"/>
  <cols>
    <col min="1" max="1" width="95.85546875" bestFit="1" customWidth="1"/>
    <col min="2" max="3" width="14.5703125" customWidth="1"/>
    <col min="4" max="4" width="16" customWidth="1"/>
    <col min="5" max="5" width="15" customWidth="1"/>
    <col min="6" max="6" width="14.7109375" customWidth="1"/>
    <col min="7" max="7" width="15" customWidth="1"/>
    <col min="8" max="8" width="15.5703125" customWidth="1"/>
    <col min="9" max="10" width="15" customWidth="1"/>
    <col min="11" max="11" width="15.85546875" customWidth="1"/>
    <col min="12" max="12" width="15.28515625" customWidth="1"/>
    <col min="13" max="13" width="14.85546875" customWidth="1"/>
    <col min="15" max="15" width="60" customWidth="1"/>
    <col min="16" max="16" width="14.28515625" customWidth="1"/>
    <col min="17" max="17" width="13.85546875" customWidth="1"/>
    <col min="18" max="18" width="11.42578125" customWidth="1"/>
    <col min="19" max="20" width="11.7109375" bestFit="1" customWidth="1"/>
  </cols>
  <sheetData>
    <row r="1" spans="1:24" x14ac:dyDescent="0.25">
      <c r="E1" s="35"/>
      <c r="F1" s="35"/>
      <c r="G1" s="35"/>
      <c r="H1" s="35"/>
      <c r="I1" s="120"/>
    </row>
    <row r="2" spans="1:24" x14ac:dyDescent="0.25">
      <c r="E2" s="165"/>
      <c r="F2" s="125" t="s">
        <v>156</v>
      </c>
      <c r="G2" s="125"/>
      <c r="H2" s="125"/>
      <c r="I2" s="125"/>
      <c r="J2" s="126"/>
    </row>
    <row r="3" spans="1:24" x14ac:dyDescent="0.25">
      <c r="E3" s="165"/>
      <c r="F3" s="124" t="s">
        <v>170</v>
      </c>
      <c r="G3" s="124"/>
      <c r="H3" s="124"/>
      <c r="I3" s="124"/>
      <c r="J3" s="124"/>
    </row>
    <row r="4" spans="1:24" ht="15.75" x14ac:dyDescent="0.25">
      <c r="A4" s="13" t="s">
        <v>160</v>
      </c>
      <c r="E4" s="165"/>
      <c r="F4" s="125" t="s">
        <v>185</v>
      </c>
      <c r="G4" s="166"/>
      <c r="H4" s="166"/>
      <c r="I4" s="166"/>
      <c r="J4" s="166"/>
      <c r="K4" s="171" t="s">
        <v>155</v>
      </c>
      <c r="L4" s="171"/>
      <c r="M4" s="171"/>
    </row>
    <row r="5" spans="1:24" ht="15.75" x14ac:dyDescent="0.25">
      <c r="A5" s="3"/>
      <c r="B5" s="3" t="s">
        <v>134</v>
      </c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3" t="s">
        <v>171</v>
      </c>
      <c r="P5" s="13"/>
      <c r="Q5" s="13"/>
      <c r="R5" s="13"/>
      <c r="S5" s="13"/>
      <c r="T5" s="13"/>
    </row>
    <row r="6" spans="1:24" s="6" customFormat="1" x14ac:dyDescent="0.25">
      <c r="A6" s="34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5"/>
      <c r="P6" s="2" t="s">
        <v>1</v>
      </c>
      <c r="Q6" s="2" t="s">
        <v>2</v>
      </c>
      <c r="R6" s="2" t="s">
        <v>3</v>
      </c>
      <c r="S6" s="2" t="s">
        <v>4</v>
      </c>
      <c r="T6" s="2" t="s">
        <v>5</v>
      </c>
      <c r="U6" s="137" t="s">
        <v>6</v>
      </c>
      <c r="V6" s="136" t="s">
        <v>178</v>
      </c>
      <c r="W6" s="2" t="s">
        <v>6</v>
      </c>
      <c r="X6" s="2" t="s">
        <v>7</v>
      </c>
    </row>
    <row r="7" spans="1:24" s="6" customFormat="1" ht="15.75" customHeight="1" x14ac:dyDescent="0.25">
      <c r="A7" s="7" t="s">
        <v>13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5"/>
      <c r="U7" s="138" t="s">
        <v>180</v>
      </c>
    </row>
    <row r="8" spans="1:24" s="6" customFormat="1" x14ac:dyDescent="0.25">
      <c r="A8" s="7" t="s">
        <v>14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5"/>
      <c r="O8" s="21" t="s">
        <v>172</v>
      </c>
      <c r="P8" s="139">
        <f t="array" ref="P8">IF($G$43&gt;880000,0,Tabla1[Columna2])</f>
        <v>0</v>
      </c>
      <c r="Q8" s="139">
        <f t="array" ref="Q8">IF($G$43&gt;880000,0,Tabla1[Columna3])</f>
        <v>0</v>
      </c>
      <c r="R8" s="139">
        <f t="array" ref="R8">IF($G$43&gt;880000,0,Tabla1[Columna4])</f>
        <v>0</v>
      </c>
      <c r="S8" s="139">
        <f t="array" ref="S8">IF($G$43&gt;880000,0,Tabla1[Columna5])</f>
        <v>0</v>
      </c>
      <c r="T8" s="139">
        <f t="array" ref="T8">IF($G$43&gt;880000,0,Tabla1[Columna6])</f>
        <v>0</v>
      </c>
      <c r="U8" s="139">
        <f t="array" ref="U8">IF($G$43&gt;880000,0, IF((G15+G39)&gt;440000,(Tabla1[Columna7]),0))</f>
        <v>0</v>
      </c>
      <c r="V8" s="140"/>
      <c r="W8" s="140"/>
      <c r="X8" s="138"/>
    </row>
    <row r="9" spans="1:24" s="6" customFormat="1" x14ac:dyDescent="0.25">
      <c r="A9" s="7" t="s">
        <v>15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5"/>
      <c r="O9" s="38" t="s">
        <v>42</v>
      </c>
      <c r="P9" s="139">
        <f>IF($G$43&gt;880000,0,B58)</f>
        <v>0</v>
      </c>
      <c r="Q9" s="139">
        <f>IF($G$43&gt;880000,0,C58)</f>
        <v>0</v>
      </c>
      <c r="R9" s="139">
        <f>IF($G$43&gt;880000,0,D58)</f>
        <v>0</v>
      </c>
      <c r="S9" s="139">
        <f>IF($G$43&gt;880000,0,E58)</f>
        <v>0</v>
      </c>
      <c r="T9" s="139">
        <f>IF($G$43&gt;880000,0,F58)</f>
        <v>0</v>
      </c>
      <c r="U9" s="139">
        <f>IF($G$43&gt;880000,0,IF((G15+G39)&gt;440000,(SUM(B58:G59)),0))</f>
        <v>0</v>
      </c>
      <c r="V9" s="141"/>
      <c r="W9" s="140"/>
      <c r="X9" s="138"/>
    </row>
    <row r="10" spans="1:24" s="6" customFormat="1" ht="15" customHeight="1" x14ac:dyDescent="0.25">
      <c r="A10" s="37" t="s">
        <v>16</v>
      </c>
      <c r="B10" s="82"/>
      <c r="C10" s="83"/>
      <c r="D10" s="83"/>
      <c r="E10" s="83"/>
      <c r="F10" s="83"/>
      <c r="G10" s="83"/>
      <c r="H10" s="82"/>
      <c r="I10" s="82"/>
      <c r="J10" s="82"/>
      <c r="K10" s="82"/>
      <c r="L10" s="82"/>
      <c r="M10" s="82"/>
      <c r="N10" s="5"/>
      <c r="O10" s="38" t="s">
        <v>139</v>
      </c>
      <c r="P10" s="139">
        <f>IF($G$43&gt;880000,0,B74)</f>
        <v>0</v>
      </c>
      <c r="Q10" s="139">
        <f>IF($G$43&gt;880000,0,C74)</f>
        <v>0</v>
      </c>
      <c r="R10" s="139">
        <f>IF($G$43&gt;880000,0,D74)</f>
        <v>0</v>
      </c>
      <c r="S10" s="139">
        <f>IF($G$43&gt;880000,0,E74)</f>
        <v>0</v>
      </c>
      <c r="T10" s="139">
        <f>IF($G$43&gt;880000,0,F74)</f>
        <v>0</v>
      </c>
      <c r="U10" s="139">
        <f>IF($G$43&gt;880000,0, IF((G15+G39)&gt;440000,(SUM(B74:G75)),0))</f>
        <v>0</v>
      </c>
      <c r="V10" s="141"/>
      <c r="W10" s="140"/>
      <c r="X10" s="138"/>
    </row>
    <row r="11" spans="1:24" s="6" customFormat="1" x14ac:dyDescent="0.25">
      <c r="A11" s="7" t="s">
        <v>17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5"/>
      <c r="O11" s="93" t="s">
        <v>173</v>
      </c>
      <c r="P11" s="139">
        <f t="shared" ref="P11:U11" si="0">+P9-P10</f>
        <v>0</v>
      </c>
      <c r="Q11" s="139">
        <f t="shared" si="0"/>
        <v>0</v>
      </c>
      <c r="R11" s="139">
        <f t="shared" si="0"/>
        <v>0</v>
      </c>
      <c r="S11" s="139">
        <f t="shared" si="0"/>
        <v>0</v>
      </c>
      <c r="T11" s="139">
        <f t="shared" si="0"/>
        <v>0</v>
      </c>
      <c r="U11" s="139">
        <f t="shared" si="0"/>
        <v>0</v>
      </c>
      <c r="V11" s="141"/>
      <c r="W11" s="140"/>
      <c r="X11" s="138"/>
    </row>
    <row r="12" spans="1:24" s="6" customFormat="1" ht="18" customHeight="1" x14ac:dyDescent="0.25">
      <c r="A12" s="24" t="s">
        <v>18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5"/>
      <c r="O12" s="135" t="s">
        <v>174</v>
      </c>
      <c r="P12" s="139">
        <f t="shared" ref="P12:U12" si="1">+P8-P11</f>
        <v>0</v>
      </c>
      <c r="Q12" s="139">
        <f t="shared" si="1"/>
        <v>0</v>
      </c>
      <c r="R12" s="139">
        <f t="shared" si="1"/>
        <v>0</v>
      </c>
      <c r="S12" s="139">
        <f t="shared" si="1"/>
        <v>0</v>
      </c>
      <c r="T12" s="139">
        <f t="shared" si="1"/>
        <v>0</v>
      </c>
      <c r="U12" s="139">
        <f t="shared" si="1"/>
        <v>0</v>
      </c>
      <c r="V12" s="140"/>
      <c r="W12" s="140"/>
      <c r="X12" s="138"/>
    </row>
    <row r="13" spans="1:24" s="6" customFormat="1" x14ac:dyDescent="0.25">
      <c r="A13" s="18" t="s">
        <v>126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5"/>
      <c r="O13" s="135" t="s">
        <v>96</v>
      </c>
      <c r="P13" s="139">
        <f t="shared" ref="P13:U13" si="2">IF($G$43&gt;880000,0,(P12-(B9+B33)*0.83))</f>
        <v>0</v>
      </c>
      <c r="Q13" s="139">
        <f t="shared" si="2"/>
        <v>0</v>
      </c>
      <c r="R13" s="139">
        <f t="shared" si="2"/>
        <v>0</v>
      </c>
      <c r="S13" s="139">
        <f t="shared" si="2"/>
        <v>0</v>
      </c>
      <c r="T13" s="139">
        <f t="shared" si="2"/>
        <v>0</v>
      </c>
      <c r="U13" s="139">
        <f t="shared" si="2"/>
        <v>0</v>
      </c>
      <c r="V13" s="140"/>
      <c r="W13" s="140"/>
      <c r="X13" s="138"/>
    </row>
    <row r="14" spans="1:24" s="6" customFormat="1" x14ac:dyDescent="0.25">
      <c r="A14" s="24" t="s">
        <v>112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5"/>
      <c r="O14" s="21" t="s">
        <v>176</v>
      </c>
      <c r="P14" s="139">
        <f>IF($G$43&gt;880000,0,B99)</f>
        <v>0</v>
      </c>
      <c r="Q14" s="139">
        <f>IF($G$43&gt;880000,0,C98)</f>
        <v>0</v>
      </c>
      <c r="R14" s="139">
        <f>IF($G$43&gt;880000,0,D98)</f>
        <v>0</v>
      </c>
      <c r="S14" s="139">
        <f>IF($G$43&gt;880000,0,E98)</f>
        <v>0</v>
      </c>
      <c r="T14" s="139">
        <f>IF($G$43&gt;880000,0,F98)</f>
        <v>0</v>
      </c>
      <c r="U14" s="139">
        <f>IF($G$43&gt;880000,0, IF((G15+G39)&gt;440000,G98,0))</f>
        <v>0</v>
      </c>
      <c r="V14" s="140"/>
      <c r="W14" s="140"/>
      <c r="X14" s="138"/>
    </row>
    <row r="15" spans="1:24" s="6" customFormat="1" ht="15.75" thickBot="1" x14ac:dyDescent="0.3">
      <c r="A15" s="24" t="s">
        <v>19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5"/>
      <c r="O15" s="24" t="s">
        <v>175</v>
      </c>
      <c r="P15" s="139">
        <f>IFERROR(LOOKUP(P13,$P$27:$Q$35,$R$27:$R$35)+((LOOKUP(P13,$P$27:$Q$35,$S$27:$S$35)*(P12-LOOKUP(P13,$P$27:$Q$35,$T$27:$T$35)))),0)</f>
        <v>0</v>
      </c>
      <c r="Q15" s="139">
        <f>IFERROR(LOOKUP(Q13,$P$36:$Q$44,$R$36:$R$44)+((LOOKUP(Q13,$P$36:$Q$44,$S$36:$S$44)*(Q12-LOOKUP(Q13,$P$36:$Q$44,$T$36:$T$44)))),0)</f>
        <v>0</v>
      </c>
      <c r="R15" s="139">
        <f>IFERROR(LOOKUP(R13,$P$45:$Q$53,$R$45:$R$53)+((LOOKUP(R13,$P$45:$Q$53,$S$45:$S$53)*(R12-LOOKUP(R13,$P$45:$Q$53,$T$45:$T$53)))),0)</f>
        <v>0</v>
      </c>
      <c r="S15" s="139">
        <f>IFERROR(LOOKUP(S13,$P$54:$Q$62,$R$54:$R$62)+((LOOKUP(S13,$P$54:$Q$62,$S$54:$S$62)*(S12-LOOKUP(S13,$P$54:$Q$62,$T$54:$T$62)))),0)</f>
        <v>0</v>
      </c>
      <c r="T15" s="139">
        <f>IF($G$43&gt;880000,0,F99)</f>
        <v>0</v>
      </c>
      <c r="U15" s="139">
        <f>IFERROR(LOOKUP(U13,$P$72:$Q$80,$R$72:$R$80)+((LOOKUP(U13,$P$72:$Q$80,$S$72:$S$80)*(U12-LOOKUP(U13,$P$72:$Q$80,$T$72:$T$80)))),0)</f>
        <v>0</v>
      </c>
      <c r="V15" s="142"/>
      <c r="W15" s="140"/>
      <c r="X15" s="138"/>
    </row>
    <row r="16" spans="1:24" s="6" customFormat="1" ht="15.75" thickBot="1" x14ac:dyDescent="0.3">
      <c r="A16" s="9" t="s">
        <v>20</v>
      </c>
      <c r="B16" s="60">
        <f>SUM(B7:B15)</f>
        <v>0</v>
      </c>
      <c r="C16" s="60">
        <f t="shared" ref="C16:L16" si="3">SUM(C7:C15)</f>
        <v>0</v>
      </c>
      <c r="D16" s="60">
        <f t="shared" si="3"/>
        <v>0</v>
      </c>
      <c r="E16" s="60">
        <f t="shared" si="3"/>
        <v>0</v>
      </c>
      <c r="F16" s="60">
        <f t="shared" si="3"/>
        <v>0</v>
      </c>
      <c r="G16" s="60">
        <f t="shared" si="3"/>
        <v>0</v>
      </c>
      <c r="H16" s="60">
        <f t="shared" si="3"/>
        <v>0</v>
      </c>
      <c r="I16" s="60">
        <f t="shared" si="3"/>
        <v>0</v>
      </c>
      <c r="J16" s="60">
        <f t="shared" si="3"/>
        <v>0</v>
      </c>
      <c r="K16" s="60">
        <f t="shared" si="3"/>
        <v>0</v>
      </c>
      <c r="L16" s="60">
        <f t="shared" si="3"/>
        <v>0</v>
      </c>
      <c r="M16" s="60">
        <f>SUM(M7:M15)</f>
        <v>0</v>
      </c>
      <c r="N16" s="5"/>
      <c r="O16" s="134" t="s">
        <v>177</v>
      </c>
      <c r="P16" s="139">
        <f t="shared" ref="P16:U16" si="4">+P14-P15</f>
        <v>0</v>
      </c>
      <c r="Q16" s="139">
        <f t="shared" si="4"/>
        <v>0</v>
      </c>
      <c r="R16" s="139">
        <f t="shared" si="4"/>
        <v>0</v>
      </c>
      <c r="S16" s="139">
        <f t="shared" si="4"/>
        <v>0</v>
      </c>
      <c r="T16" s="139">
        <f t="shared" si="4"/>
        <v>0</v>
      </c>
      <c r="U16" s="139">
        <f t="shared" si="4"/>
        <v>0</v>
      </c>
      <c r="V16" s="143">
        <f>SUM(P16:T16)-U16</f>
        <v>0</v>
      </c>
      <c r="W16" s="140"/>
      <c r="X16" s="138"/>
    </row>
    <row r="17" spans="1:24" s="6" customFormat="1" x14ac:dyDescent="0.25">
      <c r="A17" s="18" t="s">
        <v>21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5"/>
      <c r="O17" s="134" t="s">
        <v>179</v>
      </c>
      <c r="P17" s="141"/>
      <c r="Q17" s="141"/>
      <c r="R17" s="141"/>
      <c r="S17" s="141"/>
      <c r="T17" s="140"/>
      <c r="U17" s="140"/>
      <c r="V17" s="140"/>
      <c r="W17" s="144">
        <f>+V16/2</f>
        <v>0</v>
      </c>
      <c r="X17" s="144">
        <f>+W17</f>
        <v>0</v>
      </c>
    </row>
    <row r="18" spans="1:24" s="6" customFormat="1" x14ac:dyDescent="0.25">
      <c r="A18" s="18" t="s">
        <v>22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5"/>
      <c r="P18" s="5"/>
      <c r="Q18" s="5"/>
      <c r="R18" s="5"/>
      <c r="S18" s="5"/>
    </row>
    <row r="19" spans="1:24" s="6" customFormat="1" x14ac:dyDescent="0.25">
      <c r="A19" s="10" t="s">
        <v>23</v>
      </c>
      <c r="B19" s="61">
        <f t="shared" ref="B19:M19" si="5">SUM(B17:B18)</f>
        <v>0</v>
      </c>
      <c r="C19" s="61">
        <f t="shared" si="5"/>
        <v>0</v>
      </c>
      <c r="D19" s="61">
        <f t="shared" si="5"/>
        <v>0</v>
      </c>
      <c r="E19" s="61">
        <f t="shared" si="5"/>
        <v>0</v>
      </c>
      <c r="F19" s="61">
        <f t="shared" si="5"/>
        <v>0</v>
      </c>
      <c r="G19" s="61">
        <f t="shared" si="5"/>
        <v>0</v>
      </c>
      <c r="H19" s="61">
        <f t="shared" si="5"/>
        <v>0</v>
      </c>
      <c r="I19" s="61">
        <f t="shared" si="5"/>
        <v>0</v>
      </c>
      <c r="J19" s="61">
        <f t="shared" si="5"/>
        <v>0</v>
      </c>
      <c r="K19" s="61">
        <f t="shared" si="5"/>
        <v>0</v>
      </c>
      <c r="L19" s="61">
        <f t="shared" si="5"/>
        <v>0</v>
      </c>
      <c r="M19" s="61">
        <f t="shared" si="5"/>
        <v>0</v>
      </c>
      <c r="N19" s="5"/>
      <c r="P19" s="5"/>
      <c r="Q19" s="5"/>
      <c r="R19" s="5"/>
      <c r="S19" s="5"/>
    </row>
    <row r="20" spans="1:24" x14ac:dyDescent="0.25">
      <c r="A20" s="7" t="s">
        <v>24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5"/>
      <c r="O20" s="6"/>
      <c r="P20" s="5"/>
      <c r="Q20" s="5"/>
      <c r="R20" s="5"/>
      <c r="S20" s="5"/>
      <c r="T20" s="6"/>
      <c r="U20" s="6"/>
      <c r="V20" s="6"/>
      <c r="W20" s="6"/>
    </row>
    <row r="21" spans="1:24" x14ac:dyDescent="0.25">
      <c r="A21" s="7" t="s">
        <v>25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5"/>
      <c r="O21" s="6"/>
      <c r="P21" s="5"/>
      <c r="Q21" s="5"/>
      <c r="R21" s="5"/>
      <c r="S21" s="5"/>
      <c r="T21" s="6"/>
      <c r="U21" s="6"/>
      <c r="V21" s="6"/>
      <c r="W21" s="6"/>
    </row>
    <row r="22" spans="1:24" ht="15.75" thickBot="1" x14ac:dyDescent="0.3">
      <c r="A22" s="7" t="s">
        <v>26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4"/>
      <c r="O22" s="6"/>
      <c r="P22" s="5"/>
      <c r="Q22" s="5"/>
      <c r="R22" s="5"/>
      <c r="S22" s="5"/>
      <c r="T22" s="6"/>
      <c r="U22" s="6"/>
      <c r="V22" s="6"/>
    </row>
    <row r="23" spans="1:24" ht="16.5" thickTop="1" thickBot="1" x14ac:dyDescent="0.3">
      <c r="A23" s="7" t="s">
        <v>27</v>
      </c>
      <c r="B23" s="119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4"/>
      <c r="O23" s="172" t="s">
        <v>98</v>
      </c>
      <c r="P23" s="173"/>
      <c r="Q23" s="174"/>
      <c r="R23" s="175" t="s">
        <v>99</v>
      </c>
      <c r="S23" s="173"/>
      <c r="T23" s="176"/>
    </row>
    <row r="24" spans="1:24" ht="15.75" thickBot="1" x14ac:dyDescent="0.3">
      <c r="A24" s="7" t="s">
        <v>181</v>
      </c>
      <c r="B24" s="119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4"/>
      <c r="O24" s="154"/>
      <c r="P24" s="155"/>
      <c r="Q24" s="156"/>
      <c r="R24" s="157"/>
      <c r="S24" s="155"/>
      <c r="T24" s="158"/>
    </row>
    <row r="25" spans="1:24" ht="15.75" thickBot="1" x14ac:dyDescent="0.3">
      <c r="A25" s="10" t="s">
        <v>28</v>
      </c>
      <c r="B25" s="61">
        <f>SUM(B20:B24)</f>
        <v>0</v>
      </c>
      <c r="C25" s="61">
        <f>SUM(C20:C24)</f>
        <v>0</v>
      </c>
      <c r="D25" s="61">
        <f t="shared" ref="D25:L25" si="6">SUM(D20:D24)</f>
        <v>0</v>
      </c>
      <c r="E25" s="61">
        <f t="shared" si="6"/>
        <v>0</v>
      </c>
      <c r="F25" s="61">
        <f t="shared" si="6"/>
        <v>0</v>
      </c>
      <c r="G25" s="61">
        <f t="shared" si="6"/>
        <v>0</v>
      </c>
      <c r="H25" s="61">
        <f t="shared" si="6"/>
        <v>0</v>
      </c>
      <c r="I25" s="61">
        <f t="shared" si="6"/>
        <v>0</v>
      </c>
      <c r="J25" s="61">
        <f t="shared" si="6"/>
        <v>0</v>
      </c>
      <c r="K25" s="61">
        <f t="shared" si="6"/>
        <v>0</v>
      </c>
      <c r="L25" s="61">
        <f t="shared" si="6"/>
        <v>0</v>
      </c>
      <c r="M25" s="61">
        <f>SUM(M20:M24)</f>
        <v>0</v>
      </c>
      <c r="N25" s="4"/>
      <c r="O25" s="177" t="s">
        <v>100</v>
      </c>
      <c r="P25" s="179" t="s">
        <v>101</v>
      </c>
      <c r="Q25" s="180"/>
      <c r="R25" s="181" t="s">
        <v>102</v>
      </c>
      <c r="S25" s="182"/>
      <c r="T25" s="183"/>
    </row>
    <row r="26" spans="1:24" ht="45.75" thickBot="1" x14ac:dyDescent="0.3">
      <c r="A26" s="12"/>
      <c r="B26" s="62"/>
      <c r="C26" s="63"/>
      <c r="D26" s="63"/>
      <c r="E26" s="63"/>
      <c r="F26" s="63"/>
      <c r="G26" s="117"/>
      <c r="H26" s="63"/>
      <c r="I26" s="63"/>
      <c r="J26" s="63"/>
      <c r="K26" s="63"/>
      <c r="L26" s="63"/>
      <c r="M26" s="63"/>
      <c r="N26" s="4"/>
      <c r="O26" s="178"/>
      <c r="P26" s="145" t="s">
        <v>103</v>
      </c>
      <c r="Q26" s="145" t="s">
        <v>104</v>
      </c>
      <c r="R26" s="145" t="s">
        <v>105</v>
      </c>
      <c r="S26" s="145" t="s">
        <v>106</v>
      </c>
      <c r="T26" s="146" t="s">
        <v>107</v>
      </c>
    </row>
    <row r="27" spans="1:24" ht="15.75" thickBot="1" x14ac:dyDescent="0.3">
      <c r="A27" s="23" t="s">
        <v>29</v>
      </c>
      <c r="B27" s="64">
        <f>B16+B19-B25</f>
        <v>0</v>
      </c>
      <c r="C27" s="64">
        <f t="shared" ref="C27:M27" si="7">C16+C19-C25</f>
        <v>0</v>
      </c>
      <c r="D27" s="64">
        <f t="shared" si="7"/>
        <v>0</v>
      </c>
      <c r="E27" s="64">
        <f t="shared" si="7"/>
        <v>0</v>
      </c>
      <c r="F27" s="64">
        <f t="shared" si="7"/>
        <v>0</v>
      </c>
      <c r="G27" s="64">
        <f t="shared" si="7"/>
        <v>0</v>
      </c>
      <c r="H27" s="64">
        <f t="shared" si="7"/>
        <v>0</v>
      </c>
      <c r="I27" s="64">
        <f t="shared" si="7"/>
        <v>0</v>
      </c>
      <c r="J27" s="64">
        <f t="shared" si="7"/>
        <v>0</v>
      </c>
      <c r="K27" s="64">
        <f t="shared" si="7"/>
        <v>0</v>
      </c>
      <c r="L27" s="64">
        <f t="shared" si="7"/>
        <v>0</v>
      </c>
      <c r="M27" s="64">
        <f t="shared" si="7"/>
        <v>0</v>
      </c>
      <c r="N27" s="4"/>
      <c r="O27" s="168" t="s">
        <v>1</v>
      </c>
      <c r="P27" s="147">
        <v>0</v>
      </c>
      <c r="Q27" s="148">
        <v>14486.22</v>
      </c>
      <c r="R27" s="147">
        <v>0</v>
      </c>
      <c r="S27" s="149">
        <v>0.05</v>
      </c>
      <c r="T27" s="150">
        <v>0</v>
      </c>
    </row>
    <row r="28" spans="1:24" ht="15.75" thickBot="1" x14ac:dyDescent="0.3">
      <c r="A28" s="17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4"/>
      <c r="O28" s="169"/>
      <c r="P28" s="148">
        <v>14486.22</v>
      </c>
      <c r="Q28" s="148">
        <v>28972.44</v>
      </c>
      <c r="R28" s="148">
        <v>724.31</v>
      </c>
      <c r="S28" s="151">
        <v>0.09</v>
      </c>
      <c r="T28" s="148">
        <v>14486.22</v>
      </c>
    </row>
    <row r="29" spans="1:24" ht="16.5" thickBot="1" x14ac:dyDescent="0.3">
      <c r="A29" s="13" t="s">
        <v>161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4"/>
      <c r="O29" s="169"/>
      <c r="P29" s="148">
        <v>28972.44</v>
      </c>
      <c r="Q29" s="148">
        <v>43458.65</v>
      </c>
      <c r="R29" s="148">
        <v>2028.07</v>
      </c>
      <c r="S29" s="151">
        <v>0.12</v>
      </c>
      <c r="T29" s="148">
        <v>28972.44</v>
      </c>
    </row>
    <row r="30" spans="1:24" ht="16.5" thickBot="1" x14ac:dyDescent="0.3">
      <c r="A30" s="13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4"/>
      <c r="O30" s="169"/>
      <c r="P30" s="148">
        <v>43458.65</v>
      </c>
      <c r="Q30" s="148">
        <v>57944.87</v>
      </c>
      <c r="R30" s="148">
        <v>3766.42</v>
      </c>
      <c r="S30" s="151">
        <v>0.15</v>
      </c>
      <c r="T30" s="148">
        <v>43458.65</v>
      </c>
    </row>
    <row r="31" spans="1:24" ht="15.75" thickBot="1" x14ac:dyDescent="0.3">
      <c r="A31" s="21" t="s">
        <v>30</v>
      </c>
      <c r="B31" s="66" t="s">
        <v>1</v>
      </c>
      <c r="C31" s="66" t="s">
        <v>2</v>
      </c>
      <c r="D31" s="66" t="s">
        <v>3</v>
      </c>
      <c r="E31" s="66" t="s">
        <v>4</v>
      </c>
      <c r="F31" s="66" t="s">
        <v>5</v>
      </c>
      <c r="G31" s="66" t="s">
        <v>6</v>
      </c>
      <c r="H31" s="66" t="s">
        <v>7</v>
      </c>
      <c r="I31" s="66" t="s">
        <v>8</v>
      </c>
      <c r="J31" s="66" t="s">
        <v>9</v>
      </c>
      <c r="K31" s="66" t="s">
        <v>10</v>
      </c>
      <c r="L31" s="66" t="s">
        <v>11</v>
      </c>
      <c r="M31" s="66" t="s">
        <v>12</v>
      </c>
      <c r="N31" s="4"/>
      <c r="O31" s="169"/>
      <c r="P31" s="148">
        <v>57944.87</v>
      </c>
      <c r="Q31" s="148">
        <v>86917.31</v>
      </c>
      <c r="R31" s="148">
        <v>5939.35</v>
      </c>
      <c r="S31" s="151">
        <v>0.19</v>
      </c>
      <c r="T31" s="148">
        <v>57944.87</v>
      </c>
    </row>
    <row r="32" spans="1:24" ht="15.75" thickBot="1" x14ac:dyDescent="0.3">
      <c r="A32" s="7" t="s">
        <v>128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29"/>
      <c r="O32" s="169"/>
      <c r="P32" s="148">
        <v>86917.31</v>
      </c>
      <c r="Q32" s="148">
        <v>115889.74</v>
      </c>
      <c r="R32" s="148">
        <v>11444.11</v>
      </c>
      <c r="S32" s="151">
        <v>0.23</v>
      </c>
      <c r="T32" s="148">
        <v>86917.31</v>
      </c>
    </row>
    <row r="33" spans="1:23" ht="15.75" thickBot="1" x14ac:dyDescent="0.3">
      <c r="A33" s="7" t="s">
        <v>15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29"/>
      <c r="O33" s="169"/>
      <c r="P33" s="148">
        <v>115889.74</v>
      </c>
      <c r="Q33" s="148">
        <v>173834.61</v>
      </c>
      <c r="R33" s="148">
        <v>18107.77</v>
      </c>
      <c r="S33" s="151">
        <v>0.27</v>
      </c>
      <c r="T33" s="148">
        <v>115889.74</v>
      </c>
    </row>
    <row r="34" spans="1:23" ht="15.75" thickBot="1" x14ac:dyDescent="0.3">
      <c r="A34" s="38" t="s">
        <v>31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4"/>
      <c r="O34" s="169"/>
      <c r="P34" s="148">
        <v>173834.61</v>
      </c>
      <c r="Q34" s="148">
        <v>231779.49</v>
      </c>
      <c r="R34" s="148">
        <v>33752.89</v>
      </c>
      <c r="S34" s="151">
        <v>0.31</v>
      </c>
      <c r="T34" s="148">
        <v>173834.61</v>
      </c>
    </row>
    <row r="35" spans="1:23" ht="15.75" thickBot="1" x14ac:dyDescent="0.3">
      <c r="A35" s="18" t="s">
        <v>126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4"/>
      <c r="O35" s="170"/>
      <c r="P35" s="148">
        <v>231779.49</v>
      </c>
      <c r="Q35" s="152" t="s">
        <v>108</v>
      </c>
      <c r="R35" s="148">
        <v>51715.8</v>
      </c>
      <c r="S35" s="153">
        <v>0.35</v>
      </c>
      <c r="T35" s="148">
        <v>231779.49</v>
      </c>
    </row>
    <row r="36" spans="1:23" ht="15.75" thickBot="1" x14ac:dyDescent="0.3">
      <c r="A36" s="38" t="s">
        <v>32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29"/>
      <c r="O36" s="168" t="s">
        <v>2</v>
      </c>
      <c r="P36" s="147">
        <v>0</v>
      </c>
      <c r="Q36" s="148">
        <v>28972.43</v>
      </c>
      <c r="R36" s="147">
        <v>0</v>
      </c>
      <c r="S36" s="149">
        <v>0.05</v>
      </c>
      <c r="T36" s="150">
        <v>0</v>
      </c>
    </row>
    <row r="37" spans="1:23" ht="15.75" thickBot="1" x14ac:dyDescent="0.3">
      <c r="A37" s="7" t="s">
        <v>33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29"/>
      <c r="O37" s="169"/>
      <c r="P37" s="148">
        <v>28972.43</v>
      </c>
      <c r="Q37" s="148">
        <v>57944.87</v>
      </c>
      <c r="R37" s="148">
        <v>1448.62</v>
      </c>
      <c r="S37" s="151">
        <v>0.09</v>
      </c>
      <c r="T37" s="148">
        <v>28972.43</v>
      </c>
    </row>
    <row r="38" spans="1:23" ht="15.75" thickBot="1" x14ac:dyDescent="0.3">
      <c r="A38" s="7" t="s">
        <v>34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29"/>
      <c r="O38" s="169"/>
      <c r="P38" s="148">
        <v>57944.87</v>
      </c>
      <c r="Q38" s="148">
        <v>86917.31</v>
      </c>
      <c r="R38" s="148">
        <v>4056.14</v>
      </c>
      <c r="S38" s="151">
        <v>0.12</v>
      </c>
      <c r="T38" s="148">
        <v>57944.87</v>
      </c>
    </row>
    <row r="39" spans="1:23" ht="15.75" thickBot="1" x14ac:dyDescent="0.3">
      <c r="A39" s="7" t="s">
        <v>19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4"/>
      <c r="O39" s="169"/>
      <c r="P39" s="148">
        <v>86917.31</v>
      </c>
      <c r="Q39" s="148">
        <v>115889.74</v>
      </c>
      <c r="R39" s="148">
        <v>7532.83</v>
      </c>
      <c r="S39" s="151">
        <v>0.15</v>
      </c>
      <c r="T39" s="148">
        <v>86917.31</v>
      </c>
    </row>
    <row r="40" spans="1:23" ht="15.75" thickBot="1" x14ac:dyDescent="0.3">
      <c r="A40" s="7" t="s">
        <v>182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4"/>
      <c r="O40" s="169"/>
      <c r="P40" s="148">
        <v>115889.74</v>
      </c>
      <c r="Q40" s="148">
        <v>173834.61</v>
      </c>
      <c r="R40" s="148">
        <v>11878.7</v>
      </c>
      <c r="S40" s="151">
        <v>0.19</v>
      </c>
      <c r="T40" s="148">
        <v>115889.74</v>
      </c>
    </row>
    <row r="41" spans="1:23" ht="15.75" thickBot="1" x14ac:dyDescent="0.3">
      <c r="A41" s="3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4"/>
      <c r="O41" s="169"/>
      <c r="P41" s="148">
        <v>173834.61</v>
      </c>
      <c r="Q41" s="148">
        <v>231779.48</v>
      </c>
      <c r="R41" s="148">
        <v>22888.22</v>
      </c>
      <c r="S41" s="151">
        <v>0.23</v>
      </c>
      <c r="T41" s="148">
        <v>173834.61</v>
      </c>
    </row>
    <row r="42" spans="1:23" ht="15.75" thickBot="1" x14ac:dyDescent="0.3">
      <c r="A42" s="68" t="s">
        <v>183</v>
      </c>
      <c r="B42" s="68">
        <f>B16+B19+SUM(B32:B38)-B15</f>
        <v>0</v>
      </c>
      <c r="C42" s="68">
        <f t="shared" ref="C42:M42" si="8">C16+C19+SUM(C32:C38)-C15</f>
        <v>0</v>
      </c>
      <c r="D42" s="68">
        <f t="shared" si="8"/>
        <v>0</v>
      </c>
      <c r="E42" s="68">
        <f t="shared" si="8"/>
        <v>0</v>
      </c>
      <c r="F42" s="68">
        <f t="shared" si="8"/>
        <v>0</v>
      </c>
      <c r="G42" s="68">
        <f t="shared" si="8"/>
        <v>0</v>
      </c>
      <c r="H42" s="68">
        <f t="shared" si="8"/>
        <v>0</v>
      </c>
      <c r="I42" s="68">
        <f t="shared" si="8"/>
        <v>0</v>
      </c>
      <c r="J42" s="68">
        <f t="shared" si="8"/>
        <v>0</v>
      </c>
      <c r="K42" s="68">
        <f t="shared" si="8"/>
        <v>0</v>
      </c>
      <c r="L42" s="68">
        <f t="shared" si="8"/>
        <v>0</v>
      </c>
      <c r="M42" s="68">
        <f t="shared" si="8"/>
        <v>0</v>
      </c>
      <c r="N42" s="4"/>
      <c r="O42" s="169"/>
      <c r="P42" s="148">
        <v>231779.48</v>
      </c>
      <c r="Q42" s="148">
        <v>347669.22</v>
      </c>
      <c r="R42" s="148">
        <v>36215.54</v>
      </c>
      <c r="S42" s="151">
        <v>0.27</v>
      </c>
      <c r="T42" s="148">
        <v>231779.48</v>
      </c>
    </row>
    <row r="43" spans="1:23" ht="15.75" thickBot="1" x14ac:dyDescent="0.3">
      <c r="A43" s="23" t="s">
        <v>157</v>
      </c>
      <c r="B43" s="64">
        <f>AVERAGE($B$42)</f>
        <v>0</v>
      </c>
      <c r="C43" s="64">
        <f>AVERAGE($B$42:$C$42)</f>
        <v>0</v>
      </c>
      <c r="D43" s="64">
        <f>AVERAGE($B$42:$D$42)</f>
        <v>0</v>
      </c>
      <c r="E43" s="64">
        <f>AVERAGE($B$42:$E$42)</f>
        <v>0</v>
      </c>
      <c r="F43" s="64">
        <f>AVERAGE($B$42:$F$42)</f>
        <v>0</v>
      </c>
      <c r="G43" s="64">
        <f>AVERAGE($B$42:$G$42)</f>
        <v>0</v>
      </c>
      <c r="H43" s="64">
        <f>AVERAGE($B$42:$H$42)</f>
        <v>0</v>
      </c>
      <c r="I43" s="64">
        <f>AVERAGE($B$42:$I$42)</f>
        <v>0</v>
      </c>
      <c r="J43" s="64">
        <f>AVERAGE($B$42:$J$42)</f>
        <v>0</v>
      </c>
      <c r="K43" s="64">
        <f>AVERAGE($B$42:$K$42)</f>
        <v>0</v>
      </c>
      <c r="L43" s="64">
        <f>AVERAGE($B$42:$L$42)</f>
        <v>0</v>
      </c>
      <c r="M43" s="64">
        <f>AVERAGE($B$42:$M$42)</f>
        <v>0</v>
      </c>
      <c r="N43" s="4"/>
      <c r="O43" s="169"/>
      <c r="P43" s="148">
        <v>347669.22</v>
      </c>
      <c r="Q43" s="148">
        <v>463558.97</v>
      </c>
      <c r="R43" s="148">
        <v>67505.77</v>
      </c>
      <c r="S43" s="151">
        <v>0.31</v>
      </c>
      <c r="T43" s="148">
        <v>347669.22</v>
      </c>
    </row>
    <row r="44" spans="1:23" ht="15.75" thickBot="1" x14ac:dyDescent="0.3">
      <c r="A44" s="23" t="s">
        <v>158</v>
      </c>
      <c r="B44" s="64">
        <f>AVERAGE($B$42)</f>
        <v>0</v>
      </c>
      <c r="C44" s="64">
        <f>AVERAGE($B$42:$C$42)</f>
        <v>0</v>
      </c>
      <c r="D44" s="64">
        <f>AVERAGE($B$42:$D$42)</f>
        <v>0</v>
      </c>
      <c r="E44" s="64">
        <f>AVERAGE($B$42:$E$42)</f>
        <v>0</v>
      </c>
      <c r="F44" s="64">
        <f>AVERAGE($F$42)</f>
        <v>0</v>
      </c>
      <c r="G44" s="64">
        <f>AVERAGE($F$42:$G$42)</f>
        <v>0</v>
      </c>
      <c r="H44" s="64">
        <f>AVERAGE($F$42:$H$42)</f>
        <v>0</v>
      </c>
      <c r="I44" s="64">
        <f>AVERAGE($I$42:$I$42)</f>
        <v>0</v>
      </c>
      <c r="J44" s="64">
        <f>AVERAGE($I$42:$J$42)</f>
        <v>0</v>
      </c>
      <c r="K44" s="64">
        <f>AVERAGE($I$42:$K$42)</f>
        <v>0</v>
      </c>
      <c r="L44" s="64">
        <f>AVERAGE($I$42:$L$42)</f>
        <v>0</v>
      </c>
      <c r="M44" s="64">
        <f>AVERAGE($I$42:$M$42)</f>
        <v>0</v>
      </c>
      <c r="N44" s="4"/>
      <c r="O44" s="170"/>
      <c r="P44" s="148">
        <v>463558.97</v>
      </c>
      <c r="Q44" s="152" t="s">
        <v>108</v>
      </c>
      <c r="R44" s="148">
        <v>103431.6</v>
      </c>
      <c r="S44" s="153">
        <v>0.35</v>
      </c>
      <c r="T44" s="148">
        <v>463558.97</v>
      </c>
    </row>
    <row r="45" spans="1:23" ht="15.75" thickBot="1" x14ac:dyDescent="0.3">
      <c r="A45" s="20" t="s">
        <v>154</v>
      </c>
      <c r="B45" s="69">
        <f t="shared" ref="B45:M45" si="9">MIN(B42,B44)</f>
        <v>0</v>
      </c>
      <c r="C45" s="69">
        <f t="shared" si="9"/>
        <v>0</v>
      </c>
      <c r="D45" s="69">
        <f t="shared" si="9"/>
        <v>0</v>
      </c>
      <c r="E45" s="69">
        <f t="shared" si="9"/>
        <v>0</v>
      </c>
      <c r="F45" s="69">
        <f t="shared" si="9"/>
        <v>0</v>
      </c>
      <c r="G45" s="69">
        <f t="shared" si="9"/>
        <v>0</v>
      </c>
      <c r="H45" s="69">
        <f t="shared" si="9"/>
        <v>0</v>
      </c>
      <c r="I45" s="69">
        <f t="shared" si="9"/>
        <v>0</v>
      </c>
      <c r="J45" s="69">
        <f t="shared" si="9"/>
        <v>0</v>
      </c>
      <c r="K45" s="69">
        <f t="shared" si="9"/>
        <v>0</v>
      </c>
      <c r="L45" s="69">
        <f t="shared" si="9"/>
        <v>0</v>
      </c>
      <c r="M45" s="69">
        <f t="shared" si="9"/>
        <v>0</v>
      </c>
      <c r="N45" s="4"/>
      <c r="O45" s="168" t="s">
        <v>3</v>
      </c>
      <c r="P45" s="147">
        <v>0</v>
      </c>
      <c r="Q45" s="148">
        <v>43458.65</v>
      </c>
      <c r="R45" s="147">
        <v>0</v>
      </c>
      <c r="S45" s="149">
        <v>0.05</v>
      </c>
      <c r="T45" s="150">
        <v>0</v>
      </c>
    </row>
    <row r="46" spans="1:23" s="6" customFormat="1" ht="18.75" customHeight="1" thickBot="1" x14ac:dyDescent="0.3">
      <c r="A46" s="47" t="s">
        <v>36</v>
      </c>
      <c r="B46" s="66" t="s">
        <v>1</v>
      </c>
      <c r="C46" s="66" t="s">
        <v>2</v>
      </c>
      <c r="D46" s="66" t="s">
        <v>3</v>
      </c>
      <c r="E46" s="66" t="s">
        <v>4</v>
      </c>
      <c r="F46" s="66" t="s">
        <v>5</v>
      </c>
      <c r="G46" s="66" t="s">
        <v>6</v>
      </c>
      <c r="H46" s="66" t="s">
        <v>7</v>
      </c>
      <c r="I46" s="66" t="s">
        <v>8</v>
      </c>
      <c r="J46" s="66" t="s">
        <v>9</v>
      </c>
      <c r="K46" s="66" t="s">
        <v>10</v>
      </c>
      <c r="L46" s="66" t="s">
        <v>11</v>
      </c>
      <c r="M46" s="66" t="s">
        <v>12</v>
      </c>
      <c r="N46" s="4"/>
      <c r="O46" s="169"/>
      <c r="P46" s="148">
        <v>43458.65</v>
      </c>
      <c r="Q46" s="148">
        <v>86917.31</v>
      </c>
      <c r="R46" s="148">
        <v>2172.9299999999998</v>
      </c>
      <c r="S46" s="151">
        <v>0.09</v>
      </c>
      <c r="T46" s="148">
        <v>43458.65</v>
      </c>
      <c r="U46"/>
      <c r="V46"/>
      <c r="W46"/>
    </row>
    <row r="47" spans="1:23" ht="15.75" thickBot="1" x14ac:dyDescent="0.3">
      <c r="A47" s="43" t="s">
        <v>37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4"/>
      <c r="O47" s="169"/>
      <c r="P47" s="148">
        <v>86917.31</v>
      </c>
      <c r="Q47" s="148">
        <v>130375.96</v>
      </c>
      <c r="R47" s="148">
        <v>6084.21</v>
      </c>
      <c r="S47" s="151">
        <v>0.12</v>
      </c>
      <c r="T47" s="148">
        <v>86917.31</v>
      </c>
    </row>
    <row r="48" spans="1:23" ht="15.75" thickBot="1" x14ac:dyDescent="0.3">
      <c r="A48" s="7" t="s">
        <v>38</v>
      </c>
      <c r="B48" s="57">
        <f>B7+B8+B9+B11+B12</f>
        <v>0</v>
      </c>
      <c r="C48" s="57">
        <f t="shared" ref="C48:M48" si="10">C7+C8+C9+C11+C12</f>
        <v>0</v>
      </c>
      <c r="D48" s="57">
        <f t="shared" si="10"/>
        <v>0</v>
      </c>
      <c r="E48" s="57">
        <f t="shared" si="10"/>
        <v>0</v>
      </c>
      <c r="F48" s="57">
        <f t="shared" si="10"/>
        <v>0</v>
      </c>
      <c r="G48" s="57">
        <f t="shared" si="10"/>
        <v>0</v>
      </c>
      <c r="H48" s="57">
        <f t="shared" si="10"/>
        <v>0</v>
      </c>
      <c r="I48" s="57">
        <f t="shared" si="10"/>
        <v>0</v>
      </c>
      <c r="J48" s="57">
        <f t="shared" si="10"/>
        <v>0</v>
      </c>
      <c r="K48" s="57">
        <f t="shared" si="10"/>
        <v>0</v>
      </c>
      <c r="L48" s="57">
        <f t="shared" si="10"/>
        <v>0</v>
      </c>
      <c r="M48" s="57">
        <f t="shared" si="10"/>
        <v>0</v>
      </c>
      <c r="N48" s="5"/>
      <c r="O48" s="169"/>
      <c r="P48" s="148">
        <v>130375.96</v>
      </c>
      <c r="Q48" s="148">
        <v>173834.62</v>
      </c>
      <c r="R48" s="148">
        <v>11299.25</v>
      </c>
      <c r="S48" s="151">
        <v>0.15</v>
      </c>
      <c r="T48" s="148">
        <v>130375.96</v>
      </c>
      <c r="W48" s="6"/>
    </row>
    <row r="49" spans="1:22" ht="15.75" thickBot="1" x14ac:dyDescent="0.3">
      <c r="A49" s="7" t="s">
        <v>31</v>
      </c>
      <c r="B49" s="57">
        <f t="shared" ref="B49:M49" si="11">B17</f>
        <v>0</v>
      </c>
      <c r="C49" s="57">
        <f t="shared" si="11"/>
        <v>0</v>
      </c>
      <c r="D49" s="57">
        <f t="shared" si="11"/>
        <v>0</v>
      </c>
      <c r="E49" s="57">
        <f t="shared" si="11"/>
        <v>0</v>
      </c>
      <c r="F49" s="57">
        <f t="shared" si="11"/>
        <v>0</v>
      </c>
      <c r="G49" s="57">
        <f t="shared" si="11"/>
        <v>0</v>
      </c>
      <c r="H49" s="57">
        <f t="shared" si="11"/>
        <v>0</v>
      </c>
      <c r="I49" s="57">
        <f t="shared" si="11"/>
        <v>0</v>
      </c>
      <c r="J49" s="57">
        <f t="shared" si="11"/>
        <v>0</v>
      </c>
      <c r="K49" s="57">
        <f t="shared" si="11"/>
        <v>0</v>
      </c>
      <c r="L49" s="57">
        <f t="shared" si="11"/>
        <v>0</v>
      </c>
      <c r="M49" s="57">
        <f t="shared" si="11"/>
        <v>0</v>
      </c>
      <c r="N49" s="4"/>
      <c r="O49" s="169"/>
      <c r="P49" s="148">
        <v>173834.62</v>
      </c>
      <c r="Q49" s="148">
        <v>260751.92</v>
      </c>
      <c r="R49" s="148">
        <v>17818.05</v>
      </c>
      <c r="S49" s="151">
        <v>0.19</v>
      </c>
      <c r="T49" s="148">
        <v>173834.62</v>
      </c>
      <c r="U49" s="6"/>
      <c r="V49" s="6"/>
    </row>
    <row r="50" spans="1:22" ht="15.75" thickBot="1" x14ac:dyDescent="0.3">
      <c r="A50" s="7" t="s">
        <v>39</v>
      </c>
      <c r="B50" s="57">
        <f>($B$161+$B$14)/12</f>
        <v>0</v>
      </c>
      <c r="C50" s="57">
        <f>($B$161+$B$14)/12+($C$14+$C$161)/11</f>
        <v>0</v>
      </c>
      <c r="D50" s="57">
        <f>($B$161+$B$14)/12+($C$14+$C$161)/11+($D$14+$D$161)/10</f>
        <v>0</v>
      </c>
      <c r="E50" s="57">
        <f>($B$161+$B$14)/12+($C$14+$C$161)/11+($D$14+$D$161)/10+($E$14+$E$161)/9</f>
        <v>0</v>
      </c>
      <c r="F50" s="57">
        <f>($B$161+$B$14)/12+($C$14+$C$161)/11+($D$14+$D$161)/10+($E$14+$E$161)/9+($F$14+$F$161)/8</f>
        <v>0</v>
      </c>
      <c r="G50" s="57">
        <f>($B$161+$B$14)/12+($C$14+$C$161)/11+($D$14+$D$161)/10+($E$14+$E$161)/9+($F$14+$F$161)/8+($G$14+$G$161)/7</f>
        <v>0</v>
      </c>
      <c r="H50" s="57">
        <f>($B$161+$B$14)/12+($C$14+$C$161)/11+($D$14+$D$161)/10+($E$14+$E$161)/9+($F$14+$F$161)/8+($G$14+$G$161)/7+($H$14+$H$161)/6</f>
        <v>0</v>
      </c>
      <c r="I50" s="57">
        <f>($B$161+$B$14)/12+($C$14+$C$161)/11+($D$14+$D$161)/10+($E$14+$E$161)/9+($F$14+$F$161)/8+($G$14+$G$161)/7+($H$14+$H$161)/6+($I$14+$I$161)/5</f>
        <v>0</v>
      </c>
      <c r="J50" s="57">
        <f>($B$161+$B$14)/12+($C$14+$C$161)/11+($D$14+$D$161)/10+($E$14+$E$161)/9+($F$14+$F$161)/8+($G$14+$G$161)/7+($H$14+$H$161)/6+($I$14+$I$161)/5+($J$14+$J$161)/4</f>
        <v>0</v>
      </c>
      <c r="K50" s="57">
        <f>($B$161+$B$14)/12+($C$14+$C$161)/11+($D$14+$D$161)/10+($E$14+$E$161)/9+($F$14+$F$161)/8+($G$14+$G$161)/7+($H$14+$H$161)/6+($I$14+$I$161)/5+($J$14+$J$161)/4+($K$14+$K$161)/3</f>
        <v>0</v>
      </c>
      <c r="L50" s="57">
        <f>($B$161+$B$14)/12+($C$14+$C$161)/11+($D$14+$D$161)/10+($E$14+$E$161)/9+($F$14+$F$161)/8+($G$14+$G$161)/7+($H$14+$H$161)/6+($I$14+$I$161)/5+($J$14+$J$161)/4+($K$14+$K$161)/3+(L$14+$L$161)/2</f>
        <v>0</v>
      </c>
      <c r="M50" s="57">
        <f>($B$161+$B$14)/12+($C$14+$C$161)/11+($D$14+$D$161)/10+($E$14+$E$161)/9+($F$14+$F$161)/8+($G$14+$G$161)/7+($H$14+$H$161)/6+($I$14+$I$161)/5+($J$14+$J$161)/4+($K$14+$K$161)/3+(M$14+$L$161)/2+($M$14+$M$161)</f>
        <v>0</v>
      </c>
      <c r="N50" s="4"/>
      <c r="O50" s="169"/>
      <c r="P50" s="148">
        <v>260751.92</v>
      </c>
      <c r="Q50" s="148">
        <v>347669.22</v>
      </c>
      <c r="R50" s="148">
        <v>34332.339999999997</v>
      </c>
      <c r="S50" s="151">
        <v>0.23</v>
      </c>
      <c r="T50" s="148">
        <v>260751.92</v>
      </c>
    </row>
    <row r="51" spans="1:22" ht="15.75" thickBot="1" x14ac:dyDescent="0.3">
      <c r="A51" s="7" t="s">
        <v>33</v>
      </c>
      <c r="B51" s="57">
        <f>$B$18/12</f>
        <v>0</v>
      </c>
      <c r="C51" s="57">
        <f>$B$18/12+$C$18/11</f>
        <v>0</v>
      </c>
      <c r="D51" s="57">
        <f>$B$18/12+$C$18/11+$D$18/10</f>
        <v>0</v>
      </c>
      <c r="E51" s="57">
        <f>$B$18/12+$C$18/11+$D$18/10+$E$18/9</f>
        <v>0</v>
      </c>
      <c r="F51" s="57">
        <f>$B$18/12+$C$18/11+$D$18/10+$E$18/9+$F$18/8</f>
        <v>0</v>
      </c>
      <c r="G51" s="57">
        <f>$B$18/12+$C$18/11+$D$18/10+$E$18/9+$F$18/8+$G$18/7</f>
        <v>0</v>
      </c>
      <c r="H51" s="57">
        <f>$B$18/12+$C$18/11+$D$18/10+$E$18/9+$F$18/8+$G$18/7+$H$18/6</f>
        <v>0</v>
      </c>
      <c r="I51" s="57">
        <f>$B$18/12+$C$18/11+$D$18/10+$E$18/9+$F$18/8+$G$18/7+$H$18/6+$I$18/5</f>
        <v>0</v>
      </c>
      <c r="J51" s="57">
        <f>$B$18/12+$C$18/11+$D$18/10+$E$18/9+$F$18/8+$G$18/7+$H$18/6+$I$18/5+$J$18/4</f>
        <v>0</v>
      </c>
      <c r="K51" s="57">
        <f>$B$18/12+$C$18/11+$D$18/10+$E$18/9+$F$18/8+$G$18/7+$H$18/6+$I$18/5+$J$18/4+$K$18/3</f>
        <v>0</v>
      </c>
      <c r="L51" s="57">
        <f>$B$18/12+$C$18/11+$D$18/10+$E$18/9+$F$18/8+$G$18/7+$H$18/6+$I$18/5+$J$18/4+$K$18/3+$L$18/2</f>
        <v>0</v>
      </c>
      <c r="M51" s="57">
        <f>$B$18/12+$C$18/11+$D$18/10+$E$18/9+$F$18/8+$G$18/7+$H$18/6+$I$18/5+$J$18/4+$K$18/3+$L$18/2+$M$18</f>
        <v>0</v>
      </c>
      <c r="N51" s="4"/>
      <c r="O51" s="169"/>
      <c r="P51" s="148">
        <v>347669.22</v>
      </c>
      <c r="Q51" s="148">
        <v>521503.84</v>
      </c>
      <c r="R51" s="148">
        <v>54323.32</v>
      </c>
      <c r="S51" s="151">
        <v>0.27</v>
      </c>
      <c r="T51" s="148">
        <v>347669.22</v>
      </c>
    </row>
    <row r="52" spans="1:22" ht="15.75" thickBot="1" x14ac:dyDescent="0.3">
      <c r="A52" s="44" t="s">
        <v>40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4"/>
      <c r="O52" s="169"/>
      <c r="P52" s="148">
        <v>521503.84</v>
      </c>
      <c r="Q52" s="148">
        <v>695338.46</v>
      </c>
      <c r="R52" s="148">
        <v>101258.66</v>
      </c>
      <c r="S52" s="151">
        <v>0.31</v>
      </c>
      <c r="T52" s="148">
        <v>521503.84</v>
      </c>
    </row>
    <row r="53" spans="1:22" ht="15.75" thickBot="1" x14ac:dyDescent="0.3">
      <c r="A53" s="38" t="s">
        <v>38</v>
      </c>
      <c r="B53" s="58">
        <f t="shared" ref="B53:M53" si="12">B32+B33</f>
        <v>0</v>
      </c>
      <c r="C53" s="58">
        <f t="shared" si="12"/>
        <v>0</v>
      </c>
      <c r="D53" s="58">
        <f t="shared" si="12"/>
        <v>0</v>
      </c>
      <c r="E53" s="58">
        <f t="shared" si="12"/>
        <v>0</v>
      </c>
      <c r="F53" s="58">
        <f t="shared" si="12"/>
        <v>0</v>
      </c>
      <c r="G53" s="58">
        <f t="shared" si="12"/>
        <v>0</v>
      </c>
      <c r="H53" s="58">
        <f t="shared" si="12"/>
        <v>0</v>
      </c>
      <c r="I53" s="58">
        <f t="shared" si="12"/>
        <v>0</v>
      </c>
      <c r="J53" s="58">
        <f t="shared" si="12"/>
        <v>0</v>
      </c>
      <c r="K53" s="58">
        <f t="shared" si="12"/>
        <v>0</v>
      </c>
      <c r="L53" s="58">
        <f t="shared" si="12"/>
        <v>0</v>
      </c>
      <c r="M53" s="58">
        <f t="shared" si="12"/>
        <v>0</v>
      </c>
      <c r="N53" s="4"/>
      <c r="O53" s="170"/>
      <c r="P53" s="148">
        <v>695338.46</v>
      </c>
      <c r="Q53" s="152" t="s">
        <v>108</v>
      </c>
      <c r="R53" s="148">
        <v>155147.4</v>
      </c>
      <c r="S53" s="153">
        <v>0.35</v>
      </c>
      <c r="T53" s="148">
        <v>695338.46</v>
      </c>
    </row>
    <row r="54" spans="1:22" ht="15.75" thickBot="1" x14ac:dyDescent="0.3">
      <c r="A54" s="38" t="s">
        <v>31</v>
      </c>
      <c r="B54" s="58">
        <f t="shared" ref="B54:M54" si="13">B34</f>
        <v>0</v>
      </c>
      <c r="C54" s="58">
        <f t="shared" si="13"/>
        <v>0</v>
      </c>
      <c r="D54" s="58">
        <f t="shared" si="13"/>
        <v>0</v>
      </c>
      <c r="E54" s="58">
        <f t="shared" si="13"/>
        <v>0</v>
      </c>
      <c r="F54" s="58">
        <f t="shared" si="13"/>
        <v>0</v>
      </c>
      <c r="G54" s="58">
        <f t="shared" si="13"/>
        <v>0</v>
      </c>
      <c r="H54" s="58">
        <f t="shared" si="13"/>
        <v>0</v>
      </c>
      <c r="I54" s="58">
        <f t="shared" si="13"/>
        <v>0</v>
      </c>
      <c r="J54" s="58">
        <f t="shared" si="13"/>
        <v>0</v>
      </c>
      <c r="K54" s="58">
        <f t="shared" si="13"/>
        <v>0</v>
      </c>
      <c r="L54" s="58">
        <f t="shared" si="13"/>
        <v>0</v>
      </c>
      <c r="M54" s="58">
        <f t="shared" si="13"/>
        <v>0</v>
      </c>
      <c r="N54" s="4"/>
      <c r="O54" s="168" t="s">
        <v>4</v>
      </c>
      <c r="P54" s="147">
        <v>0</v>
      </c>
      <c r="Q54" s="148">
        <v>57944.87</v>
      </c>
      <c r="R54" s="147">
        <v>0</v>
      </c>
      <c r="S54" s="149">
        <v>0.05</v>
      </c>
      <c r="T54" s="150">
        <v>0</v>
      </c>
    </row>
    <row r="55" spans="1:22" ht="15.75" thickBot="1" x14ac:dyDescent="0.3">
      <c r="A55" s="38" t="s">
        <v>39</v>
      </c>
      <c r="B55" s="57">
        <f>($B$162+$B$36)/12</f>
        <v>0</v>
      </c>
      <c r="C55" s="57">
        <f>($B$162+$B$36)/12+($C$162+$C$36)/11</f>
        <v>0</v>
      </c>
      <c r="D55" s="57">
        <f>($B$162+$B$36)/12+($C$36+$C$162)/11+($D$36+$D$162)/10</f>
        <v>0</v>
      </c>
      <c r="E55" s="57">
        <f>($B$162+$B$36)/12+($C$36+$C$162)/11+($D$36+$D$162)/10+($E$36+$E$162)/9</f>
        <v>0</v>
      </c>
      <c r="F55" s="57">
        <f>($B$162+$B$36)/12+($C$36+$C$162)/11+($D$36+$D$162)/10+($E$36+$E$162)/9+($F$36+$F$162)/8</f>
        <v>0</v>
      </c>
      <c r="G55" s="57">
        <f>($B$162+$B$36)/12+($C$36+$C$162)/11+($D$36+$D$162)/10+($E$36+$E$162)/9+($F$36+$F$162)/8+($G$36+$G$162)/7</f>
        <v>0</v>
      </c>
      <c r="H55" s="57">
        <f>($B$162+$B$36)/12+($C$36+$C$162)/11+($D$36+$D$162)/10+($E$36+$E$162)/9+($F$36+$F$162)/8+($G$36+$G$162)/7+($H$36+$H$162)/6</f>
        <v>0</v>
      </c>
      <c r="I55" s="57">
        <f>($B$162+$B$36)/12+($C$36+$C$162)/11+($D$36+$D$162)/10+($E$36+$E$162)/9+($F$36+$F$162)/8+($G$36+$G$162)/7+($H$36+$H$162)/6+($I$36+$I$162)/5</f>
        <v>0</v>
      </c>
      <c r="J55" s="57">
        <f>($B$162+$B$36)/12+($C$36+$C$162)/11+($D$36+$D$162)/10+($E$36+$E$162)/9+($F$36+$F$162)/8+($G$36+$G$162)/7+($H$36+$H$162)/6+($I$36+$I$162)/5+($J$36+$J$162)/4</f>
        <v>0</v>
      </c>
      <c r="K55" s="57">
        <f>($B$162+$B$36)/12+($C$36+$C$162)/11+($D$36+$D$162)/10+($E$36+$E$162)/9+($F$36+$F$162)/8+($G$36+$G$162)/7+($H$36+$H$162)/6+($I$36+$I$162)/5+($J$36+$J$162)/4+($K$36+$K$162)/3</f>
        <v>0</v>
      </c>
      <c r="L55" s="57">
        <f>($B$162+$B$36)/12+($C$36+$C$162)/11+($D$36+$D$162)/10+($E$36+$E$162)/9+($F$36+$F$162)/8+($G$36+$G$162)/7+($H$36+$H$162)/6+($I$36+$I$162)/5+($J$36+$J$162)/4+($K$36+$K$162)/3+(L$36+$L$162)/2</f>
        <v>0</v>
      </c>
      <c r="M55" s="57">
        <f>($B$162+$B$36)/12+($C$36+$C$162)/11+($D$36+$D$162)/10+($E$36+$E$162)/9+($F$36+$F$162)/8+($G$36+$G$162)/7+($H$36+$H$162)/6+($I$36+$I$162)/5+($J$36+$J$162)/4+($K$36+$K$162)/3+(L$36+$L$162)/2+($M$36+$M$162)</f>
        <v>0</v>
      </c>
      <c r="N55" s="4"/>
      <c r="O55" s="169"/>
      <c r="P55" s="148">
        <v>57944.87</v>
      </c>
      <c r="Q55" s="148">
        <v>115889.74</v>
      </c>
      <c r="R55" s="148">
        <v>2897.24</v>
      </c>
      <c r="S55" s="151">
        <v>0.09</v>
      </c>
      <c r="T55" s="148">
        <v>57944.87</v>
      </c>
    </row>
    <row r="56" spans="1:22" ht="15.75" customHeight="1" thickBot="1" x14ac:dyDescent="0.3">
      <c r="A56" s="38" t="s">
        <v>33</v>
      </c>
      <c r="B56" s="57">
        <f>$B$37/12</f>
        <v>0</v>
      </c>
      <c r="C56" s="57">
        <f>$B$37/12+$C$37/11</f>
        <v>0</v>
      </c>
      <c r="D56" s="57">
        <f>$B$37/12+$C$37/11+$D$37/10</f>
        <v>0</v>
      </c>
      <c r="E56" s="57">
        <f>$B$37/12+$C$37/11+$D$37/10+$E$37/9</f>
        <v>0</v>
      </c>
      <c r="F56" s="57">
        <f>$B$37/12+$C$37/11+$D$37/10+$E$37/9+$F$37/8</f>
        <v>0</v>
      </c>
      <c r="G56" s="57">
        <f>$B$37/12+$C$37/11+$D$37/10+$E$37/9+$F$37/8+$G$37/7</f>
        <v>0</v>
      </c>
      <c r="H56" s="57">
        <f>$B$37/12+$C$37/11+$D$37/10+$E$37/9+$F$37/8+$G$37/7+$H$37/6</f>
        <v>0</v>
      </c>
      <c r="I56" s="57">
        <f>$B$37/12+$C$37/11+$D$37/10+$E$37/9+$F$37/8+$G$37/7+$H$37/6+$I$37/5</f>
        <v>0</v>
      </c>
      <c r="J56" s="57">
        <f>$B$37/12+$C$37/11+$D$37/10+$E$37/9+$F$37/8+$G$37/7+$H$37/6+$I$37/5+$J$37/4</f>
        <v>0</v>
      </c>
      <c r="K56" s="57">
        <f>$B$37/12+$C$37/11+$D$37/10+$E$37/9+$F$37/8+$G$37/7+$H$37/6+$I$37/5+$J$37/4+$K$37/3</f>
        <v>0</v>
      </c>
      <c r="L56" s="57">
        <f>$B$37/12+$C$37/11+$D$37/10+$E$37/9+$F$37/8+$G$37/7+$H$37/6+$I$37/5+$J$37/4+$K$37/3+$L$37/2</f>
        <v>0</v>
      </c>
      <c r="M56" s="57">
        <f>$B$37/12+$C$37/11+$D$37/10+$E$37/9+$F$37/8+$G$37/7+$H$37/6+$I$37/5+$J$37/4+$K$37/3+$L$37/2+$M$37</f>
        <v>0</v>
      </c>
      <c r="N56" s="4"/>
      <c r="O56" s="169"/>
      <c r="P56" s="148">
        <v>115889.74</v>
      </c>
      <c r="Q56" s="148">
        <v>173834.61</v>
      </c>
      <c r="R56" s="148">
        <v>8112.28</v>
      </c>
      <c r="S56" s="151">
        <v>0.12</v>
      </c>
      <c r="T56" s="148">
        <v>115889.74</v>
      </c>
    </row>
    <row r="57" spans="1:22" ht="15.75" thickBot="1" x14ac:dyDescent="0.3">
      <c r="A57" s="19" t="s">
        <v>41</v>
      </c>
      <c r="B57" s="72">
        <f t="shared" ref="B57:M57" si="14">SUM(B48:B56)</f>
        <v>0</v>
      </c>
      <c r="C57" s="72">
        <f t="shared" si="14"/>
        <v>0</v>
      </c>
      <c r="D57" s="72">
        <f t="shared" si="14"/>
        <v>0</v>
      </c>
      <c r="E57" s="72">
        <f t="shared" si="14"/>
        <v>0</v>
      </c>
      <c r="F57" s="72">
        <f t="shared" si="14"/>
        <v>0</v>
      </c>
      <c r="G57" s="72">
        <f t="shared" si="14"/>
        <v>0</v>
      </c>
      <c r="H57" s="72">
        <f t="shared" si="14"/>
        <v>0</v>
      </c>
      <c r="I57" s="72">
        <f t="shared" si="14"/>
        <v>0</v>
      </c>
      <c r="J57" s="72">
        <f t="shared" si="14"/>
        <v>0</v>
      </c>
      <c r="K57" s="72">
        <f t="shared" si="14"/>
        <v>0</v>
      </c>
      <c r="L57" s="72">
        <f t="shared" si="14"/>
        <v>0</v>
      </c>
      <c r="M57" s="72">
        <f t="shared" si="14"/>
        <v>0</v>
      </c>
      <c r="N57" s="4"/>
      <c r="O57" s="169"/>
      <c r="P57" s="148">
        <v>173834.61</v>
      </c>
      <c r="Q57" s="148">
        <v>231779.49</v>
      </c>
      <c r="R57" s="148">
        <v>15065.67</v>
      </c>
      <c r="S57" s="151">
        <v>0.15</v>
      </c>
      <c r="T57" s="148">
        <v>173834.61</v>
      </c>
    </row>
    <row r="58" spans="1:22" ht="15.75" thickBot="1" x14ac:dyDescent="0.3">
      <c r="A58" s="38" t="s">
        <v>42</v>
      </c>
      <c r="B58" s="58">
        <f>IF($B$43&gt;404062,$B$57/12,0)</f>
        <v>0</v>
      </c>
      <c r="C58" s="58">
        <f>IF(C43&gt;404062,C57/12,0)</f>
        <v>0</v>
      </c>
      <c r="D58" s="58">
        <f>IF(D43&gt;404062,D57/12,0)</f>
        <v>0</v>
      </c>
      <c r="E58" s="58">
        <f>IF(E43&gt;404062,E57/12,0)</f>
        <v>0</v>
      </c>
      <c r="F58" s="58">
        <f>IF(F43&gt;506230,F57/12,0)</f>
        <v>0</v>
      </c>
      <c r="G58" s="73"/>
      <c r="H58" s="58">
        <f>IF(H43&gt;880000,H57/12,0)</f>
        <v>0</v>
      </c>
      <c r="I58" s="58">
        <f>IF(I43&gt;880000,I57/12,0)</f>
        <v>0</v>
      </c>
      <c r="J58" s="58">
        <f>IF(J43&gt;880000,J57/12,0)</f>
        <v>0</v>
      </c>
      <c r="K58" s="58">
        <f>IF(K43&gt;880000,K57/12,0)</f>
        <v>0</v>
      </c>
      <c r="L58" s="58">
        <f>IF(L43&gt;880000,L57/12,0)</f>
        <v>0</v>
      </c>
      <c r="M58" s="59"/>
      <c r="N58" s="4"/>
      <c r="O58" s="169"/>
      <c r="P58" s="148">
        <v>231779.49</v>
      </c>
      <c r="Q58" s="148">
        <v>347669.23</v>
      </c>
      <c r="R58" s="148">
        <v>23757.4</v>
      </c>
      <c r="S58" s="151">
        <v>0.19</v>
      </c>
      <c r="T58" s="148">
        <v>231779.49</v>
      </c>
    </row>
    <row r="59" spans="1:22" ht="15.75" thickBot="1" x14ac:dyDescent="0.3">
      <c r="A59" s="7" t="s">
        <v>43</v>
      </c>
      <c r="B59" s="59"/>
      <c r="C59" s="59"/>
      <c r="D59" s="59"/>
      <c r="E59" s="59"/>
      <c r="F59" s="59"/>
      <c r="G59" s="58">
        <f>IF(G43&lt;=880000,IF(G15+G39&gt;440000, G15+G39-440000-SUM(B58:F58),IF(G15+G39&gt;0,0-SUM(B58:F58),0)),IF(G15+G39&gt;0,G15+G39-SUM(B58:F58),0))</f>
        <v>0</v>
      </c>
      <c r="H59" s="59"/>
      <c r="I59" s="59"/>
      <c r="J59" s="59"/>
      <c r="K59" s="59"/>
      <c r="L59" s="59"/>
      <c r="M59" s="57">
        <f>IF($M$43&lt;=880000,IF((M15+M39)&gt;440000, M15+M39-440000-SUM(H58:L58),0-SUM(H58:L58)),IF(M15+M39&gt;0,M15+M39-SUM(H58:L58),0))</f>
        <v>0</v>
      </c>
      <c r="N59" s="4"/>
      <c r="O59" s="169"/>
      <c r="P59" s="148">
        <v>347669.23</v>
      </c>
      <c r="Q59" s="148">
        <v>463558.97</v>
      </c>
      <c r="R59" s="148">
        <v>45776.45</v>
      </c>
      <c r="S59" s="151">
        <v>0.23</v>
      </c>
      <c r="T59" s="148">
        <v>347669.23</v>
      </c>
    </row>
    <row r="60" spans="1:22" ht="15.75" thickBot="1" x14ac:dyDescent="0.3">
      <c r="A60" s="19" t="s">
        <v>44</v>
      </c>
      <c r="B60" s="72">
        <f>B57+B58+B59</f>
        <v>0</v>
      </c>
      <c r="C60" s="72">
        <f t="shared" ref="C60:M60" si="15">C57+C58+C59</f>
        <v>0</v>
      </c>
      <c r="D60" s="72">
        <f t="shared" si="15"/>
        <v>0</v>
      </c>
      <c r="E60" s="72">
        <f t="shared" si="15"/>
        <v>0</v>
      </c>
      <c r="F60" s="72">
        <f t="shared" si="15"/>
        <v>0</v>
      </c>
      <c r="G60" s="72">
        <f>G57+G58+G59</f>
        <v>0</v>
      </c>
      <c r="H60" s="72">
        <f t="shared" si="15"/>
        <v>0</v>
      </c>
      <c r="I60" s="72">
        <f t="shared" si="15"/>
        <v>0</v>
      </c>
      <c r="J60" s="72">
        <f t="shared" si="15"/>
        <v>0</v>
      </c>
      <c r="K60" s="72">
        <f t="shared" si="15"/>
        <v>0</v>
      </c>
      <c r="L60" s="72">
        <f t="shared" si="15"/>
        <v>0</v>
      </c>
      <c r="M60" s="72">
        <f t="shared" si="15"/>
        <v>0</v>
      </c>
      <c r="N60" s="4"/>
      <c r="O60" s="169"/>
      <c r="P60" s="148">
        <v>463558.97</v>
      </c>
      <c r="Q60" s="148">
        <v>695338.45</v>
      </c>
      <c r="R60" s="148">
        <v>72431.09</v>
      </c>
      <c r="S60" s="151">
        <v>0.27</v>
      </c>
      <c r="T60" s="148">
        <v>463558.97</v>
      </c>
    </row>
    <row r="61" spans="1:22" ht="15.75" thickBot="1" x14ac:dyDescent="0.3">
      <c r="A61" s="42" t="s">
        <v>45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4"/>
      <c r="O61" s="169"/>
      <c r="P61" s="148">
        <v>695338.45</v>
      </c>
      <c r="Q61" s="148">
        <v>927117.95</v>
      </c>
      <c r="R61" s="148">
        <v>135011.54999999999</v>
      </c>
      <c r="S61" s="151">
        <v>0.31</v>
      </c>
      <c r="T61" s="148">
        <v>695338.45</v>
      </c>
    </row>
    <row r="62" spans="1:22" ht="15.75" thickBot="1" x14ac:dyDescent="0.3">
      <c r="A62" s="38" t="s">
        <v>24</v>
      </c>
      <c r="B62" s="119">
        <f>IF($B$16&gt;548651.9,(548651.9*$C$165), ($B$48+$B$50+$B$53+$B$55)*$C$165)</f>
        <v>0</v>
      </c>
      <c r="C62" s="119">
        <f>IF($C$16&gt;548651.9,(548651.9*$C$165),($C$48+$C$50+$C$53+$C$55)*$C$165)</f>
        <v>0</v>
      </c>
      <c r="D62" s="119">
        <f>IF($D$16&gt;642142.18,(642142.18*$C$165),($D$48+$D$50+$D$53+$D$55)*$C$165)</f>
        <v>0</v>
      </c>
      <c r="E62" s="119">
        <f>IF($E$16&gt;642142.18,(642142.18*$C$165),($E$48+$E$50+$E$53+$E$55)*$C$165)</f>
        <v>0</v>
      </c>
      <c r="F62" s="119">
        <f>IF($F$16&gt;642142.18,(642142.18*$C$165),($F$48+$F$50+$F$53+$F$55)*$C$165)</f>
        <v>0</v>
      </c>
      <c r="G62" s="119">
        <f>IF(($G$7+$G$8+$G$9+$G$10+$G$11+$G$12+$G$13+$G$14)&gt;776478.32,(776478.32*$C$165),($G$48+$G$50+$G$53+$G$55)*$C$165)</f>
        <v>0</v>
      </c>
      <c r="H62" s="119">
        <f>IF($H$16&gt; 776478.32,(776478.32*$C$165),($H$48+$H$50+$H$53+$H$55)*$C$165)</f>
        <v>0</v>
      </c>
      <c r="I62" s="119">
        <f>IF($I$16&gt;776478.32,(776478.32*$C$165),($I$48+$I$50+$I$53+$I$55)*$C$165)</f>
        <v>0</v>
      </c>
      <c r="J62" s="119">
        <f>IF($J$16&gt;776478.32,(776478.32*$C$165),($J$48+$J$50+$J$53+$J$55)*$C$165)</f>
        <v>0</v>
      </c>
      <c r="K62" s="119">
        <f>IF($K$16&gt;776478.32,(776478.32*$C$165),($K$48+$K$50+$K$53+$K$55)*$C$165)</f>
        <v>0</v>
      </c>
      <c r="L62" s="119">
        <f>IF($L$16&gt;776478.32,(776478.32*$C$165),($L$48+$L$50+$L$53+$L$55)*$C$165)</f>
        <v>0</v>
      </c>
      <c r="M62" s="119">
        <f>IF(($M$7+$M$8+$M$9+$M$10+$M$11+$M$12+$M$13+$M$14)&gt;776478.32,(776478.32*$C$165),($M$48+$M$50+$M$53+$M$55)*$C$165)</f>
        <v>0</v>
      </c>
      <c r="N62" s="4"/>
      <c r="O62" s="170"/>
      <c r="P62" s="148">
        <v>927117.95</v>
      </c>
      <c r="Q62" s="152" t="s">
        <v>108</v>
      </c>
      <c r="R62" s="148">
        <v>206863.19</v>
      </c>
      <c r="S62" s="153">
        <v>0.35</v>
      </c>
      <c r="T62" s="148">
        <v>927117.95</v>
      </c>
    </row>
    <row r="63" spans="1:22" ht="15.75" thickBot="1" x14ac:dyDescent="0.3">
      <c r="A63" s="38" t="s">
        <v>25</v>
      </c>
      <c r="B63" s="119">
        <f>IF($B$16&gt;548651.9,(548651.9*$C$166), ($B$48+$B$50+$B$53+$B$55)*$C$166)</f>
        <v>0</v>
      </c>
      <c r="C63" s="119">
        <f>IF($C$16&gt;548651.9,(548651.9*$C$166),($C$48+$C$50+$C$53+$C$55)*$C$166)</f>
        <v>0</v>
      </c>
      <c r="D63" s="119">
        <f>IF($D$16&gt;642142.18,(642142.18*$C$166),($D$48+$D$50+$D$53+$D$55)*$C$166)</f>
        <v>0</v>
      </c>
      <c r="E63" s="119">
        <f>IF($E$16&gt;642142.18,(642142.18*$C$166),($E$48+$E$50+$E$53+$E$55)*$C$166)</f>
        <v>0</v>
      </c>
      <c r="F63" s="119">
        <f>IF($F$16&gt;642142.18,(642142.18*$C$166),($F$48+$F$50+$F$53+$F$55)*$C$166)</f>
        <v>0</v>
      </c>
      <c r="G63" s="119">
        <f>IF(($G$7+$G$8+$G$9+$G$10+$G$11+$G$12+$G$13+$G$14)&gt;776478.32,(776478.32*$C$166),($G$48+$G$50+$G$53+$G$55)*$C$166)</f>
        <v>0</v>
      </c>
      <c r="H63" s="119">
        <f>IF($H$16&gt;776478.32,(776478.32*$C$166),($H$48+$H$50+$H$53+$H$55)*$C$166)</f>
        <v>0</v>
      </c>
      <c r="I63" s="119">
        <f>IF($I$16&gt;776478.32,(776478.32*$C$166),($I$48+$I$50+$I$53+$I$55)*$C$166)</f>
        <v>0</v>
      </c>
      <c r="J63" s="119">
        <f>IF($J$16&gt;776478.32,(776478.32*$C$166),($J$48+$J$50+$J$53+$J$55)*$C$166)</f>
        <v>0</v>
      </c>
      <c r="K63" s="119">
        <f>IF($K$16&gt;776478.32,(776478.32*$C$166),($K$48+$K$50+$K$53+$K$55)*$C$166)</f>
        <v>0</v>
      </c>
      <c r="L63" s="119">
        <f>IF($L$16&gt;776478.32,(776478.32*$C$166),($L$48+$L$50+$L$53+$L$55)*$C$166)</f>
        <v>0</v>
      </c>
      <c r="M63" s="119">
        <f>IF(($M$7+$M$8+$M$9+$M$10+$M$11+$M$12+$M$13+$M$14)&gt;776478.32,(776478.32*$C$166),($M$48+$M$50+$M$53+$M$55)*$C$166)</f>
        <v>0</v>
      </c>
      <c r="N63" s="4"/>
      <c r="O63" s="168" t="s">
        <v>5</v>
      </c>
      <c r="P63" s="147">
        <v>0</v>
      </c>
      <c r="Q63" s="148">
        <v>72431.09</v>
      </c>
      <c r="R63" s="147">
        <v>0</v>
      </c>
      <c r="S63" s="149">
        <v>0.05</v>
      </c>
      <c r="T63" s="150">
        <v>0</v>
      </c>
    </row>
    <row r="64" spans="1:22" ht="15.75" thickBot="1" x14ac:dyDescent="0.3">
      <c r="A64" s="38" t="s">
        <v>26</v>
      </c>
      <c r="B64" s="119">
        <f>IF($B$16&gt;548651.9,(548651.9*$C$167), ($B$48+$B$50+$B$53+$B$55)*$C$167)</f>
        <v>0</v>
      </c>
      <c r="C64" s="119">
        <f>IF($C$16&gt;548651.9,(548651.9*$C$167),($C$48+$C$50+$C$53+$C$55)*$C$167)</f>
        <v>0</v>
      </c>
      <c r="D64" s="119">
        <f>IF($D$16&gt;642142.18,(642142.18*$C$167),($D$48+$D$50+$D$53+$D$55)*$C$167)</f>
        <v>0</v>
      </c>
      <c r="E64" s="119">
        <f>IF($E$16&gt;642142.18,(642142.18*$C$167),($E$48+$E$50+$E$53+$E$55)*$C$167)</f>
        <v>0</v>
      </c>
      <c r="F64" s="119">
        <f>IF($F$16&gt;642142.18,(642142.18*$C$167),($F$48+$F$50+$F$53+$F$55)*$C$167)</f>
        <v>0</v>
      </c>
      <c r="G64" s="119">
        <f>IF(($G$7+$G$8+$G$9+$G$10+$G$11+$G$12+$G$13+$G$14)&gt;776478.32,(776478.32*$C$167),($G$48+$G$50+$G$53+$G$55)*$C$167)</f>
        <v>0</v>
      </c>
      <c r="H64" s="119">
        <f>IF($H$16&gt;776478.32,(776478.32*$C$167),($H$48+$H$50+$H$53+$H$55)*$C$167)</f>
        <v>0</v>
      </c>
      <c r="I64" s="119">
        <f>IF($I$16&gt;776478.32,(776478.32*$C$167),($I$48+$I$50+$I$53+$I$55)*$C$167)</f>
        <v>0</v>
      </c>
      <c r="J64" s="119">
        <f>IF($J$16&gt;776478.32,(776478.32*$C$167),($J$48+$J$50+$J$53+$J$55)*$C$167)</f>
        <v>0</v>
      </c>
      <c r="K64" s="119">
        <f>IF($K$16&gt;776478.32,(776478.32*$C$167),($K$48+$K$50+$K$53+$K$55)*$C$167)</f>
        <v>0</v>
      </c>
      <c r="L64" s="119">
        <f>IF($L$16&gt;776478.32,(776478.32*$C$167),($L$48+$L$50+$L$53+$L$55)*$C$167)</f>
        <v>0</v>
      </c>
      <c r="M64" s="119">
        <f>IF(($M$7+$M$8+$M$9+$M$10+$M$11+$M$12+$M$13+$M$14)&gt;776478.32,(776478.32*$C$167),($M$48+$M$50+$M$53+$M$55)*$C$167)</f>
        <v>0</v>
      </c>
      <c r="N64" s="4"/>
      <c r="O64" s="169"/>
      <c r="P64" s="148">
        <v>72431.09</v>
      </c>
      <c r="Q64" s="148">
        <v>144862.18</v>
      </c>
      <c r="R64" s="148">
        <v>3621.55</v>
      </c>
      <c r="S64" s="151">
        <v>0.09</v>
      </c>
      <c r="T64" s="148">
        <v>72431.09</v>
      </c>
    </row>
    <row r="65" spans="1:20" ht="15.75" thickBot="1" x14ac:dyDescent="0.3">
      <c r="A65" s="38" t="s">
        <v>27</v>
      </c>
      <c r="B65" s="119">
        <v>0</v>
      </c>
      <c r="C65" s="119">
        <v>0</v>
      </c>
      <c r="D65" s="119">
        <v>0</v>
      </c>
      <c r="E65" s="119">
        <v>0</v>
      </c>
      <c r="F65" s="119">
        <v>0</v>
      </c>
      <c r="G65" s="119">
        <v>0</v>
      </c>
      <c r="H65" s="119">
        <v>0</v>
      </c>
      <c r="I65" s="119">
        <v>0</v>
      </c>
      <c r="J65" s="119">
        <v>0</v>
      </c>
      <c r="K65" s="119">
        <v>0</v>
      </c>
      <c r="L65" s="119">
        <v>0</v>
      </c>
      <c r="M65" s="119">
        <v>0</v>
      </c>
      <c r="N65" s="4"/>
      <c r="O65" s="169"/>
      <c r="P65" s="148">
        <v>144862.18</v>
      </c>
      <c r="Q65" s="148">
        <v>217293.27</v>
      </c>
      <c r="R65" s="148">
        <v>10140.35</v>
      </c>
      <c r="S65" s="151">
        <v>0.12</v>
      </c>
      <c r="T65" s="148">
        <v>144862.18</v>
      </c>
    </row>
    <row r="66" spans="1:20" ht="15.75" thickBot="1" x14ac:dyDescent="0.3">
      <c r="A66" s="41" t="s">
        <v>46</v>
      </c>
      <c r="B66" s="58">
        <f>IF($B$131&gt;20000,20000,$B$131)</f>
        <v>0</v>
      </c>
      <c r="C66" s="58">
        <f>IF(SUM($B$131:$C$131)&gt;20000,(20000-$B$66),$C$131)</f>
        <v>0</v>
      </c>
      <c r="D66" s="58">
        <f>IF(SUM($B$131:$D$131)&gt;20000,(20000-$B$66-$C$66),$D$131)</f>
        <v>0</v>
      </c>
      <c r="E66" s="58">
        <f>IF(SUM($B$131:$E$131)&gt;20000,(20000-$B$66-$C$66-$D$66),$E$131)</f>
        <v>0</v>
      </c>
      <c r="F66" s="58">
        <f>IF(SUM($B$131:$F$131)&gt;20000,(20000-$B$66-$C$66-$D$66-$E$66),$F$131)</f>
        <v>0</v>
      </c>
      <c r="G66" s="58">
        <f>IF(SUM($B$131:$G$131)&gt;20000,(20000-$B$66-$C$66-$D$66-$E$66-$F$66),$G$131)</f>
        <v>0</v>
      </c>
      <c r="H66" s="58">
        <f>IF(SUM($B$131:$H$131)&gt;20000,(20000-$B$66-$C$66-$D$66-$E$66-$F$66-$G$66),$H$131)</f>
        <v>0</v>
      </c>
      <c r="I66" s="58">
        <f>IF(SUM($B$131:$I$131)&gt;20000,(20000-$B$66-$C$66-$D$66-$E$66-$F$66-$G$66-$H$66),$I$131)</f>
        <v>0</v>
      </c>
      <c r="J66" s="58">
        <f>IF(SUM($B$131:$J$131)&gt;20000,(20000-$B$66-$C$66-$D$66-$E$66-$F$66-$G$66-$H$66-$I$66),$J$131)</f>
        <v>0</v>
      </c>
      <c r="K66" s="58">
        <f>IF(SUM($B$131:$K$131)&gt;20000,(20000-$B$66-$C$66-$D$66-$E$66-$F$66-$G$66-$H$66-$I$66-$J$66),$K$131)</f>
        <v>0</v>
      </c>
      <c r="L66" s="58">
        <f>IF(SUM($B$131:$L$131)&gt;20000,(20000-$B$66-$C$66-$D$66-$E$66-$F$66-$G$66-$H$66-$I$66-$J$66-$K$66),$L$131)</f>
        <v>0</v>
      </c>
      <c r="M66" s="58">
        <f>IF(SUM($B$131:$M$131)&gt;20000,(20000-$B$66-$C$66-$D$66-$E$66-$F$66-$G$66-$H$66-$I$66-$J$66-$K$66-$L$66),$M$131)</f>
        <v>0</v>
      </c>
      <c r="N66" s="4"/>
      <c r="O66" s="169"/>
      <c r="P66" s="148">
        <v>217293.27</v>
      </c>
      <c r="Q66" s="148">
        <v>289724.36</v>
      </c>
      <c r="R66" s="148">
        <v>18832.080000000002</v>
      </c>
      <c r="S66" s="151">
        <v>0.15</v>
      </c>
      <c r="T66" s="148">
        <v>217293.27</v>
      </c>
    </row>
    <row r="67" spans="1:20" ht="15.75" thickBot="1" x14ac:dyDescent="0.3">
      <c r="A67" s="41" t="s">
        <v>47</v>
      </c>
      <c r="B67" s="58">
        <f>IF($B$133&gt;$B$83,$B$83,$B$133)</f>
        <v>0</v>
      </c>
      <c r="C67" s="58">
        <f>IF(SUM($B$133:$C$133)&gt; $C$83, $C$83-$B$67,SUM($B$133:$C$133)-$B$67)</f>
        <v>0</v>
      </c>
      <c r="D67" s="58">
        <f>IF(SUM($B$133:$D$133)&gt; $D$83, $D$83-$B$67-$C$67,SUM($B$133:$D$133)-$B$67-$C$67)</f>
        <v>0</v>
      </c>
      <c r="E67" s="58">
        <f>IF(SUM($B$133:$E$133)&gt; $E$83, $E$83-$B$67-$C$67-$D$67,SUM($B$133:$E$133)-$B$67-$C$67-$D$67)</f>
        <v>0</v>
      </c>
      <c r="F67" s="58">
        <f>IF(SUM($B$133:$F$133)&gt; $F$83, $F$83-$B$67-$C$67-$D$67-$E$67,SUM($B$133:$F$133)-$B$67-$C$67-$D$67-$E$67)</f>
        <v>0</v>
      </c>
      <c r="G67" s="58">
        <f>IF(SUM($B$133:$G$133)&gt; $G$83, $G$83-$B$67-$C$67-$D$67-E$67-$F$67,SUM($B$133:$G$133)-$B$67-$C$67-$D$67-$E$67-$F$67)</f>
        <v>0</v>
      </c>
      <c r="H67" s="58">
        <f>IF(SUM($B$133:$H$133)&gt; $H$83, $H$83-$B$67-$C$67-$D$67-$E$67-$F$67-$G$67,SUM($B$133:$H$133)-$B$67-$C$67-$D$67-$E$67-$F$67-$G$67)</f>
        <v>0</v>
      </c>
      <c r="I67" s="58">
        <f>IF(SUM($B$133:$I$133)&gt; $I$83, $I$83-$B$67-$C$67-$D$67-$E$67-$F$67-$G$67-$H$67,SUM($B$133:$I$133)-$B$67-$C$67-$D$67-$E$67-$F$67-$G$67-$H$67)</f>
        <v>0</v>
      </c>
      <c r="J67" s="58">
        <f>IF(SUM($B$133:$J$133)&gt; $J$83, $J$83-$B$67-$C$67-$D$67-$E$67-$F$67-$G$67-$H$67-$I$67,SUM($B$133:$J$133)-$B$67-$C$67-$D$67-$E$67-$F$67-$G$67-$H$67-$I$67)</f>
        <v>0</v>
      </c>
      <c r="K67" s="58">
        <f>IF(SUM($B$133:$K$133)&gt; $K$83, $K$83-$B$67-$C$67-$D$67-$E$67-$F$67-$G$67-$H$67-$I$67-$J$67,SUM($B$133:$K$133)-$B$67-$C$67-$D$67-$E$67-$F$67-$G$67-$H$67-$I$67-$J$67)</f>
        <v>0</v>
      </c>
      <c r="L67" s="58">
        <f>IF(SUM($B$133:$L$133)&gt; $L$83, $L$83-$B$67-$C$67-$D$67-$E$67-$F$67-$G$67-H$67-$I$67-$J$67-$K$67,SUM($B$133:$L$133)-$B$67-$C$67-$D$67-$E$67-$F$67-$G$67-$H$67-$I$67-$J$67-$K$67)</f>
        <v>0</v>
      </c>
      <c r="M67" s="58">
        <f>IF(SUM($B$133:$M$133)&gt; $M$83, $M$83-$B$67-$C$67-$D$67-$E$67-$F$67-$G$67-$H$67-$I$67-$J$67-$K$67-$L$67,SUM($B$133:$M$133)-$B$67-$C$67-$D$67-$E$67-$F$67-$G$67-$H$67-$I$67-$J$67-$K$67-$L$67)</f>
        <v>0</v>
      </c>
      <c r="N67" s="4"/>
      <c r="O67" s="169"/>
      <c r="P67" s="148">
        <v>289724.36</v>
      </c>
      <c r="Q67" s="148">
        <v>434586.53</v>
      </c>
      <c r="R67" s="148">
        <v>29696.75</v>
      </c>
      <c r="S67" s="151">
        <v>0.19</v>
      </c>
      <c r="T67" s="148">
        <v>289724.36</v>
      </c>
    </row>
    <row r="68" spans="1:20" ht="15.75" thickBot="1" x14ac:dyDescent="0.3">
      <c r="A68" s="41" t="s">
        <v>48</v>
      </c>
      <c r="B68" s="58">
        <f>IF($B$134&gt;$B$83,$B$83,$B$134)</f>
        <v>0</v>
      </c>
      <c r="C68" s="58">
        <f>IF(SUM($B$134:$C$134)&gt; $C$83, $C$83-$B$68,SUM($B$134:$C$134)-$B$68)</f>
        <v>0</v>
      </c>
      <c r="D68" s="58">
        <f>IF(SUM($B$134:$D$134)&gt; $D$83, $D$83-$B$68-$C$68,SUM($B$134:$D$134)-$B$68-$C$68)</f>
        <v>0</v>
      </c>
      <c r="E68" s="58">
        <f>IF(SUM($B$134:$E$134)&gt; $E$83, $E$83-$B$68-$C$68-$D$68,SUM($B$134:$E$134)-$B$68-$C$68-$D$68)</f>
        <v>0</v>
      </c>
      <c r="F68" s="58">
        <f>IF(SUM($B$134:$F$134)&gt; $F$83, $F$83-$B$68-$C$68-$D$68-$E$68,SUM($B$134:$F$134)-$B$68-$C$68-$D$68-$E$68)</f>
        <v>0</v>
      </c>
      <c r="G68" s="58">
        <f>IF(SUM($B$134:$G$134)&gt; $G$83, $G$83-$B$68-$C$68-$D$68-$E$68-$F$68,SUM($B$134:$G$134)-$B$68-$C$68-$D$68-$E$68-$F$68)</f>
        <v>0</v>
      </c>
      <c r="H68" s="58">
        <f>IF(SUM($B$134:$H$134)&gt; $H$83, $H$83-$B$68-$C$68-$D$68-$E$68-$F$68-$G$68,SUM($B$134:$H$134)-$B$68-$C$68-$D$68-$E$68-$F$68-$G$68)</f>
        <v>0</v>
      </c>
      <c r="I68" s="58">
        <f>IF(SUM($B$134:$I$134)&gt; $I$83, $I$83-$B$68-$C$68-$D$68-$E$68-$F$68-$G$68-$H$68,SUM($B$134:$I$134)-$B$68-$C$68-$D$68-$E$68-$F$68-$G$68-$H$68)</f>
        <v>0</v>
      </c>
      <c r="J68" s="58">
        <f>IF(SUM($B$134:$J$134)&gt; $J$83, $J$83-$B$68-$C$68-$D$68-$E$68-$F$68-$G$68-$H$68-$I$68,SUM($B$134:$J$134)-$B$68-$C$68-$D$68-$E$68-$F$68-$G$68-$H$68-$I$68)</f>
        <v>0</v>
      </c>
      <c r="K68" s="58">
        <f>IF(SUM($B$134:$K$134)&gt; $K$83, $K$83-$B$68-$C$68-$D$68-$E$68-$F$68-$G$68-$H$68-$I$68-$J$68,SUM($B$134:$K$134)-$B$68-$C$68-$D$68-$E$68-$F$68-$G$68-$H$68-$I$68-$J$68)</f>
        <v>0</v>
      </c>
      <c r="L68" s="58">
        <f>IF(SUM($B$134:$L$134)&gt; $L$83, $L$83-$B$68-$C$68-$D$68-$E$68-$F$68-$G$68-$H$68-$I$68-$J$68-$K$68,SUM($B$134:$L$134)-$B$68-$C$68-$D$68-$E$68-$F$68-$G$68-$H$68-$I$68-$J$68-$K$68)</f>
        <v>0</v>
      </c>
      <c r="M68" s="58">
        <f>IF(SUM($B$134:$M$134)&gt; $M$83, $M$83-$B$68-$C$68-$D$68-$E$68-$F$68-$G$68-$H$68-I$68-$J$68-$K$68-$L$68,SUM($B$134:$M$134)-$B$68-$C$68-$D$68-$E$68-$F$68-$G$68-$H$68-$I$68-$J$68-$K$68-$L$68)</f>
        <v>0</v>
      </c>
      <c r="N68" s="4"/>
      <c r="O68" s="169"/>
      <c r="P68" s="148">
        <v>434586.53</v>
      </c>
      <c r="Q68" s="148">
        <v>579448.71</v>
      </c>
      <c r="R68" s="148">
        <v>57220.56</v>
      </c>
      <c r="S68" s="151">
        <v>0.23</v>
      </c>
      <c r="T68" s="148">
        <v>434586.53</v>
      </c>
    </row>
    <row r="69" spans="1:20" ht="15.75" thickBot="1" x14ac:dyDescent="0.3">
      <c r="A69" s="38" t="s">
        <v>49</v>
      </c>
      <c r="B69" s="58">
        <f>IF($B$135&gt;$B$136,$B$136,$B$135)</f>
        <v>0</v>
      </c>
      <c r="C69" s="58">
        <f>IF(SUM($B$135:$C$135)&gt; $C$136, $C$136-$B$69,SUM($B$135:$C$135)-$B$69)</f>
        <v>0</v>
      </c>
      <c r="D69" s="58">
        <f>IF(SUM($B$135:$D$135)&gt; $D$136, $D$136-$B$69-$C$69,SUM($B$135:$D$135)-$B$69-$C$69)</f>
        <v>0</v>
      </c>
      <c r="E69" s="58">
        <f>IF(SUM($B$135:$E$135)&gt; $E$136, $E$136-$B$69-$C$69-$D$69,SUM($B$135:$E$135)-$B$69-$C$69-$D$69)</f>
        <v>0</v>
      </c>
      <c r="F69" s="58">
        <f>IF(SUM($B$135:$F$135)&gt; $F$136, $F$136-$B$69-$C$69-$D$69-$E$69,SUM($B$135:$F$135)-$B$69-$C$69-$D$69-$E$69)</f>
        <v>0</v>
      </c>
      <c r="G69" s="58">
        <f>IF(SUM($B$135:$G$135)&gt; $G$136, $G$136-$B$69-$C$69-$D$69-$E$69-$F$69,SUM($B$135:$G$135)-$B$69-$C$69-$D$69-$E$69-$F$69)</f>
        <v>0</v>
      </c>
      <c r="H69" s="58">
        <f>IF(SUM($B$135:$H$135)&gt; $H$136, $H$136-$B$69-$C$69-$D$69-$E$69-$F$69-$G$69,SUM($B$135:$H$135)-$B$69-$C$69-$D$69-$E$69-$F$69-$G$69)</f>
        <v>0</v>
      </c>
      <c r="I69" s="58">
        <f>IF(SUM($B$135:$I$135)&gt; $I$136, $I$136-$B$69-$C$69-$D$69-$E$69-$F$69-$G$69-$H$69,SUM($B$135:$I$135)-$B$69-$C$69-$D$69-$E$69-$F$69-$G$69-$H$69)</f>
        <v>0</v>
      </c>
      <c r="J69" s="58">
        <f>IF(SUM($B$135:$J$135)&gt; $J$136, $J$136-$B$69-$C$69-$D$69-$E$69-$F$69-$G$69-$H$69-$I$69,SUM($B$135:$J$135)-$B$69-$C$69-$D$69-$E$69-$F$69-$G$69-$H$69-$I$69)</f>
        <v>0</v>
      </c>
      <c r="K69" s="58">
        <f>IF(SUM($B$135:$K$135)&gt; $K$136, $K$136-$B$69-$C$69-$D$69-$E$69-$F$69-$G$69-$H$69-$I$69-$J$69,SUM($B$135:$K$135)-$B$69-$C$69-$D$69-$E$69-$F$69-$G$69-$H$69-$I$69-$J$69)</f>
        <v>0</v>
      </c>
      <c r="L69" s="58">
        <f>IF(SUM($B$135:$L$135)&gt; $L$136, $L$136-$B$69-$C$69-$D$69-$E$69-$F$69-$G$69-$H$69-$I$69-$J$69-$K$69,SUM($B$135:$L$135)-$B$69-$C$69-$D$69-$E$69-$F$69-$G$69-$H$69-$I$69-$J$69-$K$69)</f>
        <v>0</v>
      </c>
      <c r="M69" s="58">
        <f>IF(SUM($B$135:$M$135)&gt; $M$136, $M$136-$B$69-$C$69-$D$69-$E$69-$F$69-$G$69-$H$69-$I$69-$J$69-$K$69-$L$69,SUM($B$135:$M$135)-$B$69-$C$69-$D$69-$E$69-$F$69-$G$69-$H$69-$I$69-$J$69-$K$69-$L$69)</f>
        <v>0</v>
      </c>
      <c r="N69" s="4"/>
      <c r="O69" s="169"/>
      <c r="P69" s="148">
        <v>579448.71</v>
      </c>
      <c r="Q69" s="148">
        <v>869173.06</v>
      </c>
      <c r="R69" s="148">
        <v>90538.86</v>
      </c>
      <c r="S69" s="151">
        <v>0.27</v>
      </c>
      <c r="T69" s="148">
        <v>579448.71</v>
      </c>
    </row>
    <row r="70" spans="1:20" ht="15.75" thickBot="1" x14ac:dyDescent="0.3">
      <c r="A70" s="38" t="s">
        <v>50</v>
      </c>
      <c r="B70" s="58">
        <f>IF($B$137&gt;$B$83,$B$83,$B$137)</f>
        <v>0</v>
      </c>
      <c r="C70" s="58">
        <f>IF(SUM($B$137:$C$137)&gt; $C$83, $C$83-$B$70,SUM($B$137:$C$137)-$B$70)</f>
        <v>0</v>
      </c>
      <c r="D70" s="58">
        <f>IF(SUM($B$137:$D$137)&gt; $D$83, $D$83-$B$70-$C$70,SUM($B$137:$D$137)-$B$70-$C$70)</f>
        <v>0</v>
      </c>
      <c r="E70" s="58">
        <f>IF(SUM($B$137:$E$137)&gt; $E$83, $E$83-$B$70-$C$70-$D$70,SUM($B$137:$E$137)-$B$70-$C$70-$D$70)</f>
        <v>0</v>
      </c>
      <c r="F70" s="58">
        <f>IF(SUM($B$137:$F$137)&gt; $F$83, $F$83-$B$70-$C$70-$D$70-$E$70,SUM($B$137:$F$137)-$B$70-$C$70-$D$70-$E$70)</f>
        <v>0</v>
      </c>
      <c r="G70" s="58">
        <f>IF(SUM($B$137:$G$137)&gt; $G$83, $G$83-$B$70-$C$70-$D$70-$E$70-$F$70,SUM($B$137:$G$137)-$B$70-$C$70-$D$70-$E$70-$F$70)</f>
        <v>0</v>
      </c>
      <c r="H70" s="58">
        <f>IF(SUM($B$137:$H$137)&gt; $H$83, $H$83-$B$70-$C$70-$D$70-$E$70-$F$70-$G$70,SUM($B$137:$H$137)-$B$70-$C$70-$D$70-$E$70-$F$70-$G$70)</f>
        <v>0</v>
      </c>
      <c r="I70" s="58">
        <f>IF(SUM($B$137:$I$137)&gt; $I$83, $I$83-$B$70-$C$70-$D$70-$E$70-$F$70-$G$70-$H$70,SUM($B$137:$I$137)-$B$70-$C$70-$D$70-$E$70-$F$70-$G$70-$H$70)</f>
        <v>0</v>
      </c>
      <c r="J70" s="58">
        <f>IF(SUM($B$137:$J$137)&gt; $J$83, $J$83-$B$70-$C$70-$D$70-$E$70-$F$70-$G$70-$H$70-$I$70,SUM($B$137:$J$137)-$B$70-$C$70-$D$70-$E$70-$F$70-$G$70-$H$70-$I$70)</f>
        <v>0</v>
      </c>
      <c r="K70" s="58">
        <f>IF(SUM($B$137:$K$137)&gt; $K$83, $K$83-$B$70-$C$70-$D$70-$E$70-$F$70-$G$70-$H$70-$I$70-$J$70,SUM($B$137:$K$137)-$B$70-$C$70-$D$70-$E$70-$F$70-$G$70-$H$70-$I$70-$J$70)</f>
        <v>0</v>
      </c>
      <c r="L70" s="58">
        <f>IF(SUM($B$137:$L$137)&gt; $L$83, $L$83-$B$70-$C$70-$D$70-$E$70-$F$70-$G$70-$H$70-$I$70-$J$70-$K$70,SUM($B$137:$L$137)-$B$70-$C$70-$D$70-$E$70-$F$70-$G$70-$H$70-$I$70-$J$70-$K$70)</f>
        <v>0</v>
      </c>
      <c r="M70" s="58">
        <f>IF(SUM($B$137:$M$137)&gt; $M$83, M$83-$B$70-$C$70-$D$70-$E$70-$F$70-$G$70-$H$70-$I$70-$J$70-$K$70-$L$70,SUM($B$137:$M$137)-$B$70-$C$70-$D$70-$E$70-$F$70-$G$70-$H$70-$I$70-$J$70-$K$70-$L$70)</f>
        <v>0</v>
      </c>
      <c r="N70" s="4"/>
      <c r="O70" s="169"/>
      <c r="P70" s="148">
        <v>869173.06</v>
      </c>
      <c r="Q70" s="148">
        <v>1158897.44</v>
      </c>
      <c r="R70" s="148">
        <v>168764.44</v>
      </c>
      <c r="S70" s="151">
        <v>0.31</v>
      </c>
      <c r="T70" s="148">
        <v>869173.06</v>
      </c>
    </row>
    <row r="71" spans="1:20" ht="15.75" thickBot="1" x14ac:dyDescent="0.3">
      <c r="A71" s="38" t="s">
        <v>163</v>
      </c>
      <c r="B71" s="133">
        <v>0</v>
      </c>
      <c r="C71" s="133">
        <v>0</v>
      </c>
      <c r="D71" s="133">
        <v>0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4"/>
      <c r="O71" s="170"/>
      <c r="P71" s="148">
        <v>1158897.44</v>
      </c>
      <c r="Q71" s="152" t="s">
        <v>108</v>
      </c>
      <c r="R71" s="148">
        <v>258578.99</v>
      </c>
      <c r="S71" s="153">
        <v>0.35</v>
      </c>
      <c r="T71" s="148">
        <v>1158897.44</v>
      </c>
    </row>
    <row r="72" spans="1:20" ht="15.75" thickBot="1" x14ac:dyDescent="0.3">
      <c r="A72" s="38" t="s">
        <v>51</v>
      </c>
      <c r="B72" s="58">
        <f>$B$138</f>
        <v>0</v>
      </c>
      <c r="C72" s="58">
        <f>$C$138</f>
        <v>0</v>
      </c>
      <c r="D72" s="58">
        <f>$D$138</f>
        <v>0</v>
      </c>
      <c r="E72" s="58">
        <f>$E$138</f>
        <v>0</v>
      </c>
      <c r="F72" s="58">
        <f>$F$138</f>
        <v>0</v>
      </c>
      <c r="G72" s="58">
        <f>$G$138</f>
        <v>0</v>
      </c>
      <c r="H72" s="58">
        <f>$H$138</f>
        <v>0</v>
      </c>
      <c r="I72" s="58">
        <f>$I$138</f>
        <v>0</v>
      </c>
      <c r="J72" s="58">
        <f>$J$138</f>
        <v>0</v>
      </c>
      <c r="K72" s="58">
        <f>$K$138</f>
        <v>0</v>
      </c>
      <c r="L72" s="58">
        <f>$L$138</f>
        <v>0</v>
      </c>
      <c r="M72" s="58">
        <f>$M$138</f>
        <v>0</v>
      </c>
      <c r="N72" s="4"/>
      <c r="O72" s="168" t="s">
        <v>6</v>
      </c>
      <c r="P72" s="147">
        <v>0</v>
      </c>
      <c r="Q72" s="148">
        <v>86917.3</v>
      </c>
      <c r="R72" s="147">
        <v>0</v>
      </c>
      <c r="S72" s="149">
        <v>0.05</v>
      </c>
      <c r="T72" s="150">
        <v>0</v>
      </c>
    </row>
    <row r="73" spans="1:20" ht="15.75" thickBot="1" x14ac:dyDescent="0.3">
      <c r="A73" s="38" t="s">
        <v>162</v>
      </c>
      <c r="B73" s="133">
        <v>0</v>
      </c>
      <c r="C73" s="133">
        <v>0</v>
      </c>
      <c r="D73" s="133">
        <v>0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4"/>
      <c r="O73" s="169"/>
      <c r="P73" s="148">
        <v>86917.3</v>
      </c>
      <c r="Q73" s="148">
        <v>173834.62</v>
      </c>
      <c r="R73" s="148">
        <v>4345.87</v>
      </c>
      <c r="S73" s="151">
        <v>0.09</v>
      </c>
      <c r="T73" s="148">
        <v>86917.3</v>
      </c>
    </row>
    <row r="74" spans="1:20" ht="15.75" thickBot="1" x14ac:dyDescent="0.3">
      <c r="A74" s="38" t="s">
        <v>139</v>
      </c>
      <c r="B74" s="58">
        <f>IF($B$43&gt;404062, (B62+B63+B64+B65+B66+B67+B68+B69+B70+B71+B72+B73)/12,0)</f>
        <v>0</v>
      </c>
      <c r="C74" s="58">
        <f>IF($C$43&gt;404062,(C62+C63+C64+C65+C66+C67+C68+C69+C70+C71+C72+C73)/12,0)</f>
        <v>0</v>
      </c>
      <c r="D74" s="58">
        <f>IF($D$43&gt;404062,(D62+D63+D64+D65+D66+D67+D68+D69+D70+D71+D72+D73)/12,0)</f>
        <v>0</v>
      </c>
      <c r="E74" s="58">
        <f>IF($E$43&gt;404062,(E62+E63+E64+E65+E66+E67+E68+E69+E70+E71+E72+E73)/12,0)</f>
        <v>0</v>
      </c>
      <c r="F74" s="58">
        <f>IF($F$43&gt;506230,(F62+F63+F64+F65+F66+F67+F68+F69+F70+F71+F72+F73)/12,0)</f>
        <v>0</v>
      </c>
      <c r="G74" s="73"/>
      <c r="H74" s="58">
        <f>IF($H$43&gt;880000,(H62+H63+H64+H65+H66+H67+H68+H69+H70+H71+H72+H73)/12,0)</f>
        <v>0</v>
      </c>
      <c r="I74" s="58">
        <f>IF($I$43&gt;880000,(I62+I63+I64+I65+I66+I67+I68+I69+I70+I71+I72+I73)/12,0)</f>
        <v>0</v>
      </c>
      <c r="J74" s="58">
        <f>IF($J$43&gt;880000,(J62+J63+J64+J65+J66+J67+J68+J69+J70+J71+J72+J73)/12,0)</f>
        <v>0</v>
      </c>
      <c r="K74" s="58">
        <f>IF($K$43&gt;880000,(K62+K63+K64+K65+K66+K67+K68+K69+K70+K71+K72+K73)/12,0)</f>
        <v>0</v>
      </c>
      <c r="L74" s="58">
        <f>IF($L$43&gt;880000,(L62+L63+L64+L65+L66+L67+L68+L69+L70+L71+L72+L73)/12,0)</f>
        <v>0</v>
      </c>
      <c r="M74" s="59"/>
      <c r="N74" s="4"/>
      <c r="O74" s="169"/>
      <c r="P74" s="148">
        <v>173834.62</v>
      </c>
      <c r="Q74" s="148">
        <v>260751.92</v>
      </c>
      <c r="R74" s="148">
        <v>12168.42</v>
      </c>
      <c r="S74" s="151">
        <v>0.12</v>
      </c>
      <c r="T74" s="148">
        <v>173834.62</v>
      </c>
    </row>
    <row r="75" spans="1:20" ht="15.75" thickBot="1" x14ac:dyDescent="0.3">
      <c r="A75" s="38" t="s">
        <v>140</v>
      </c>
      <c r="B75" s="59"/>
      <c r="C75" s="59"/>
      <c r="D75" s="59"/>
      <c r="E75" s="59"/>
      <c r="F75" s="59"/>
      <c r="G75" s="58">
        <f>IF(G43&lt;=880000,IF(G15+G39&gt;440000,((G15+G39-440000)*($C$165+$C$166+$C$167)- SUM(B74:F74)),IF(G15+G39&gt;0,(0-SUM(B74:F74)),0)),IF(G15+G39&gt;0,(((G15+G39)*($C$165+$C$166+$C$167))-SUM(B74:F74)),0))</f>
        <v>0</v>
      </c>
      <c r="H75" s="59"/>
      <c r="I75" s="59"/>
      <c r="J75" s="59"/>
      <c r="K75" s="59"/>
      <c r="L75" s="59"/>
      <c r="M75" s="58">
        <f>IF($M$43&lt;=880000,IF(M15+M39&gt;440000, ((M15+M39-440000)*($C$165+$C$166+$C$167)-SUM(H74:L74)), IF(M15+M39&gt;0,(0-SUM(H74:L74)),0)),IF(M15+M39&gt;0,(((M15+M39)*($C$165+$C$166+$C$167))-SUM(H74:L74)),0))</f>
        <v>0</v>
      </c>
      <c r="N75" s="4"/>
      <c r="O75" s="169"/>
      <c r="P75" s="148">
        <v>260751.92</v>
      </c>
      <c r="Q75" s="148">
        <v>347669.23</v>
      </c>
      <c r="R75" s="148">
        <v>22598.5</v>
      </c>
      <c r="S75" s="151">
        <v>0.15</v>
      </c>
      <c r="T75" s="148">
        <v>260751.92</v>
      </c>
    </row>
    <row r="76" spans="1:20" ht="15.75" thickBot="1" x14ac:dyDescent="0.3">
      <c r="A76" s="19" t="s">
        <v>52</v>
      </c>
      <c r="B76" s="72">
        <f>SUM(B62:B75)</f>
        <v>0</v>
      </c>
      <c r="C76" s="72">
        <f t="shared" ref="C76:M76" si="16">SUM(C62:C75)</f>
        <v>0</v>
      </c>
      <c r="D76" s="72">
        <f t="shared" si="16"/>
        <v>0</v>
      </c>
      <c r="E76" s="72">
        <f t="shared" si="16"/>
        <v>0</v>
      </c>
      <c r="F76" s="72">
        <f t="shared" si="16"/>
        <v>0</v>
      </c>
      <c r="G76" s="72">
        <f t="shared" si="16"/>
        <v>0</v>
      </c>
      <c r="H76" s="72">
        <f t="shared" si="16"/>
        <v>0</v>
      </c>
      <c r="I76" s="72">
        <f t="shared" si="16"/>
        <v>0</v>
      </c>
      <c r="J76" s="72">
        <f t="shared" si="16"/>
        <v>0</v>
      </c>
      <c r="K76" s="72">
        <f t="shared" si="16"/>
        <v>0</v>
      </c>
      <c r="L76" s="72">
        <f t="shared" si="16"/>
        <v>0</v>
      </c>
      <c r="M76" s="72">
        <f t="shared" si="16"/>
        <v>0</v>
      </c>
      <c r="N76" s="4"/>
      <c r="O76" s="169"/>
      <c r="P76" s="148">
        <v>347669.23</v>
      </c>
      <c r="Q76" s="148">
        <v>521503.84</v>
      </c>
      <c r="R76" s="148">
        <v>35636.1</v>
      </c>
      <c r="S76" s="151">
        <v>0.19</v>
      </c>
      <c r="T76" s="148">
        <v>347669.23</v>
      </c>
    </row>
    <row r="77" spans="1:20" ht="15.75" thickBot="1" x14ac:dyDescent="0.3">
      <c r="A77" s="23" t="s">
        <v>135</v>
      </c>
      <c r="B77" s="64">
        <f>$B$60-$B$76</f>
        <v>0</v>
      </c>
      <c r="C77" s="64">
        <f>$C$60-$C$76</f>
        <v>0</v>
      </c>
      <c r="D77" s="64">
        <f>$D$60-$D$76</f>
        <v>0</v>
      </c>
      <c r="E77" s="64">
        <f>$E$60-$E$76</f>
        <v>0</v>
      </c>
      <c r="F77" s="64">
        <f>$F$60-$F$76</f>
        <v>0</v>
      </c>
      <c r="G77" s="64">
        <f>$G$60-$G$76</f>
        <v>0</v>
      </c>
      <c r="H77" s="64">
        <f>$H$60-$H$76</f>
        <v>0</v>
      </c>
      <c r="I77" s="64">
        <f>$I$60-$I$76</f>
        <v>0</v>
      </c>
      <c r="J77" s="64">
        <f>$J$60-$J$76</f>
        <v>0</v>
      </c>
      <c r="K77" s="64">
        <f>$K$60-$K$76</f>
        <v>0</v>
      </c>
      <c r="L77" s="64">
        <f>$L$60-$L$76</f>
        <v>0</v>
      </c>
      <c r="M77" s="64">
        <f>$M$60-$M$76</f>
        <v>0</v>
      </c>
      <c r="N77" s="4"/>
      <c r="O77" s="169"/>
      <c r="P77" s="148">
        <v>521503.84</v>
      </c>
      <c r="Q77" s="148">
        <v>695338.45</v>
      </c>
      <c r="R77" s="148">
        <v>68664.67</v>
      </c>
      <c r="S77" s="151">
        <v>0.23</v>
      </c>
      <c r="T77" s="148">
        <v>521503.84</v>
      </c>
    </row>
    <row r="78" spans="1:20" ht="15.75" thickBot="1" x14ac:dyDescent="0.3">
      <c r="A78" s="21" t="s">
        <v>136</v>
      </c>
      <c r="B78" s="74">
        <f>+$B$77</f>
        <v>0</v>
      </c>
      <c r="C78" s="74">
        <f>+$C$77+$B$78</f>
        <v>0</v>
      </c>
      <c r="D78" s="74">
        <f>+$D$77+$C$78</f>
        <v>0</v>
      </c>
      <c r="E78" s="74">
        <f>+$E$77+$D$78</f>
        <v>0</v>
      </c>
      <c r="F78" s="74">
        <f>+$F$77+$E$78</f>
        <v>0</v>
      </c>
      <c r="G78" s="74">
        <f>+$G$77+$F$78</f>
        <v>0</v>
      </c>
      <c r="H78" s="74">
        <f>+$H$77+$G$78</f>
        <v>0</v>
      </c>
      <c r="I78" s="74">
        <f>+$I$77+$H$78</f>
        <v>0</v>
      </c>
      <c r="J78" s="74">
        <f>+$J$77+$I$78</f>
        <v>0</v>
      </c>
      <c r="K78" s="74">
        <f>+$K$77+$J$78</f>
        <v>0</v>
      </c>
      <c r="L78" s="74">
        <f>+$L$77+$K$78</f>
        <v>0</v>
      </c>
      <c r="M78" s="74">
        <f>+$M$77+$L$78</f>
        <v>0</v>
      </c>
      <c r="N78" s="4"/>
      <c r="O78" s="169"/>
      <c r="P78" s="148">
        <v>695338.45</v>
      </c>
      <c r="Q78" s="148">
        <v>1043007.67</v>
      </c>
      <c r="R78" s="148">
        <v>108646.63</v>
      </c>
      <c r="S78" s="151">
        <v>0.27</v>
      </c>
      <c r="T78" s="148">
        <v>695338.45</v>
      </c>
    </row>
    <row r="79" spans="1:20" ht="15.75" thickBot="1" x14ac:dyDescent="0.3">
      <c r="A79" s="7" t="s">
        <v>53</v>
      </c>
      <c r="B79" s="57">
        <f>IF(($B$78*0.05)&gt;$B$139,$B$139,($B$78*0.05))</f>
        <v>0</v>
      </c>
      <c r="C79" s="57">
        <f>IF(SUM($B$139:$C$139)&gt;$C$146,$C$146-$B$79,SUM($B$139:$C$139)-$B$79)</f>
        <v>0</v>
      </c>
      <c r="D79" s="57">
        <f>IF(SUM($B$139:$D$139)&gt;$D$146,$D$146-$B$79-$C$79,SUM($B$139:$D$139)-$B$79-$C$79)</f>
        <v>0</v>
      </c>
      <c r="E79" s="57">
        <f>IF(SUM($B$139:$E$139)&gt;$E$146,$E$146-$B$79-$C$79-$D$79,SUM($B$139:$E$139)-$B$79-$C$79-$D$79)</f>
        <v>0</v>
      </c>
      <c r="F79" s="57">
        <f>IF(SUM($B$139:$F$139)&gt;$F$146,$F$146-$B$79-$C$79-$D$79-$E$79,SUM($B$139:$F$139)-$B$79-$C$79-$D$79-$E$79)</f>
        <v>0</v>
      </c>
      <c r="G79" s="57">
        <f>IF(SUM($B$139:$G$139)&gt;$G$146,$G$146-$B$79-$C$79-$D$79-$E$79-$F$79,SUM($B$139:$G$139)-$B$79-$C$79-$D$79-$E$79-$F$79)</f>
        <v>0</v>
      </c>
      <c r="H79" s="57">
        <f>IF(SUM($B$139:$H$139)&gt;$H$146,$H$146-$B$79-$C$79-$D$79-$E$79-$F$79-$G$79,SUM($B$139:$H$139)-$B$79-$C$79-$D$79-$E$79-$F$79-$G$79)</f>
        <v>0</v>
      </c>
      <c r="I79" s="57">
        <f>IF(SUM($B$139:$I$139)&gt;$I$146,$I$146-$B$79-$C$79-$D$79-$E$79-$F$79-$G$79-$H$79,SUM($B$139:$I$139)-$B$79-$C$79-$D$79-$E$79-$F$79-$G$79-$H$79)</f>
        <v>0</v>
      </c>
      <c r="J79" s="57">
        <f>IF(SUM($B$139:$J$139)&gt;$J$146,$J$146-$B$79-$C$79-$D$79-$E$79-$F$79-$G$79-$H$79-$I$79,SUM($B$139:$J$139)-$B$79-$C$79-$D$79-$E$79-$F$79-$G$79-$H$79-$I$79)</f>
        <v>0</v>
      </c>
      <c r="K79" s="57">
        <f>IF(SUM($B$139:$K$139)&gt;$K$146,$K$146-$B$79-$C$79-$D$79-$E$79-$F$79-$G$79-$H$79-$I$79-$J$79,SUM($B$139:$K$139)-$B$79-$C$79-$D$79-$E$79-$F$79-$G$79-$H$79-$I$79-$J$79)</f>
        <v>0</v>
      </c>
      <c r="L79" s="57">
        <f>IF(SUM($B$139:$L$139)&gt;$L$146,$L$146-$B$79-$C$79-$D$79-$E$79-$F$79-$G$79-$H$79-$I$79-$J$79-$K$79,SUM($B$139:$L$139)-$B$79-$C$79-$D$79-$E$79-$F$79-$G$79-$H$79-$I$79-$J$79-$K$79)</f>
        <v>0</v>
      </c>
      <c r="M79" s="57">
        <f>IF(SUM($B$139:$M$139)&gt;$M$146,$M$146-$B$79-$C$79-$D$79-$E$79-$F$79-$G$79-$H$79-$I$79-$J$79-$K$79-$L$79,SUM($B$139:$M$139)-$B$79-$C$79-$D$79-$E$79-$F$79-$G$79-$H$79-$I$79-$J$79-$K$79-$L$79)</f>
        <v>0</v>
      </c>
      <c r="N79" s="4"/>
      <c r="O79" s="169"/>
      <c r="P79" s="148">
        <v>1043007.67</v>
      </c>
      <c r="Q79" s="148">
        <v>1390676.92</v>
      </c>
      <c r="R79" s="148">
        <v>202517.32</v>
      </c>
      <c r="S79" s="151">
        <v>0.31</v>
      </c>
      <c r="T79" s="148">
        <v>1043007.67</v>
      </c>
    </row>
    <row r="80" spans="1:20" ht="15.75" customHeight="1" thickBot="1" x14ac:dyDescent="0.3">
      <c r="A80" s="7" t="s">
        <v>54</v>
      </c>
      <c r="B80" s="57">
        <f>IF($B$146&gt;$B$140,$B$140,$B$146)</f>
        <v>0</v>
      </c>
      <c r="C80" s="57">
        <f>IF(SUM($B$140:$C$140)&gt;$C$146,$C$146-$B$80,SUM($B$140:$C$140)-$B$80)</f>
        <v>0</v>
      </c>
      <c r="D80" s="57">
        <f>IF(SUM($B$140:$D$140)&gt;$D$146,$D$146-$B$80-$C$80,SUM($B$140:$D$140)-$B$80-$C$80)</f>
        <v>0</v>
      </c>
      <c r="E80" s="57">
        <f>IF(SUM($B$140:$E$140)&gt;$E$146,$E$146-$B$80-$C$80-$D$80,SUM($B$140:$E$140)-$B$80-$C$80-$D$80)</f>
        <v>0</v>
      </c>
      <c r="F80" s="57">
        <f>IF(SUM($B$140:$F$140)&gt;$F$146,$F$146-$B$80-$C$80-$D$80-$E$80,SUM($B$140:$F$140)-$B$80-$C$80-$D$80-$E$80)</f>
        <v>0</v>
      </c>
      <c r="G80" s="57">
        <f>IF(SUM($B$140:$G$140)&gt;$G$146,$G$146-$B$80-$C$80-$D$80-$E$80-$F$80,SUM($B$140:$G$140)-$B$80-$C$80-$D$80-$E$80-$F$80)</f>
        <v>0</v>
      </c>
      <c r="H80" s="57">
        <f>IF(SUM($B$140:$H$140)&gt;$H$146,$H$146-$B$80-$C$80-$D$80-$E$80-$F$80-$G$80,SUM($B$140:$H$140)-$B$80-$C$80-$D$80-$E$80-$F$80-$G$80)</f>
        <v>0</v>
      </c>
      <c r="I80" s="57">
        <f>IF(SUM($B$140:$I$140)&gt;$I$146,$I$146-$B$80-$C$80-$D$80-$E$80-$F$80-$G$80-$H$80,SUM($B$140:$I$140)-$B$80-$C$80-$D$80-$E$80-$F$80-$G$80-$H$80)</f>
        <v>0</v>
      </c>
      <c r="J80" s="57">
        <f>IF(SUM($B$140:$J$140)&gt;$J$146,$J$146-$B$80-$C$80-$D$80-$E$80-$F$80-$G$80-$H$80-$I$80,SUM($B$140:$J$140)-$B$80-$C$80-$D$80-$E$80-$F$80-$G$80-$H$80-$I$80)</f>
        <v>0</v>
      </c>
      <c r="K80" s="57">
        <f>IF(SUM($B$140:$K$140)&gt;$K$146,$K$146-$B$80-$C$80-$D$80-$E$80-$F$80-$G$80-$H$80-$I$80-$J$80,SUM($B$140:$K$140)-$B$80-$C$80-$D$80-$E$80-$F$80-$G$80-$H$80-$I$80-$J$80)</f>
        <v>0</v>
      </c>
      <c r="L80" s="57">
        <f>IF(SUM($B$140:$L$140)&gt;$L$146,$L$146-$B$80-$C$80-$D$80-$E$80-$F$80-$G$80-$H$80-$I$80-$J$80-$K$80,SUM($B$140:$L$140)-$B$80-$C$80-$D$80-$E$80-$F$80-$G$80-$H$80-$I$80-$J$80-$K$80)</f>
        <v>0</v>
      </c>
      <c r="M80" s="57">
        <f>IF(SUM($B$140:$M$140)&gt;$M$146,$M$146-$B$80-$C$80-$D$80-$E$80-$F$80-$G$80-$H$80-$I$80-$J$80-$K$80-$L$80,SUM($B$140:$M$140)-$B$80-$C$80-$D$80-$E$80-$F$80-$G$80-$H$80-$I$80-$J$80-$K$80-$L$80)</f>
        <v>0</v>
      </c>
      <c r="N80" s="11"/>
      <c r="O80" s="170"/>
      <c r="P80" s="148">
        <v>1390676.92</v>
      </c>
      <c r="Q80" s="152" t="s">
        <v>108</v>
      </c>
      <c r="R80" s="148">
        <v>310294.78999999998</v>
      </c>
      <c r="S80" s="153">
        <v>0.35</v>
      </c>
      <c r="T80" s="148">
        <v>1390676.92</v>
      </c>
    </row>
    <row r="81" spans="1:19" ht="15.75" customHeight="1" x14ac:dyDescent="0.25">
      <c r="A81" s="43" t="s">
        <v>55</v>
      </c>
      <c r="B81" s="75">
        <f>SUM($B$79:$B$80)</f>
        <v>0</v>
      </c>
      <c r="C81" s="75">
        <f>SUM($C$79:$C$80)</f>
        <v>0</v>
      </c>
      <c r="D81" s="75">
        <f>SUM($D$79:$D$80)</f>
        <v>0</v>
      </c>
      <c r="E81" s="75">
        <f>SUM($E$79:$E$80)</f>
        <v>0</v>
      </c>
      <c r="F81" s="75">
        <f>SUM($F$79:$F$80)</f>
        <v>0</v>
      </c>
      <c r="G81" s="75">
        <f>SUM($G$79:$G$80)</f>
        <v>0</v>
      </c>
      <c r="H81" s="75">
        <f>SUM($H$79:$H$80)</f>
        <v>0</v>
      </c>
      <c r="I81" s="75">
        <f>SUM($I$79:$I$80)</f>
        <v>0</v>
      </c>
      <c r="J81" s="75">
        <f>SUM($J$79:$J$80)</f>
        <v>0</v>
      </c>
      <c r="K81" s="75">
        <f>SUM($K$79:$K$80)</f>
        <v>0</v>
      </c>
      <c r="L81" s="75">
        <f>SUM($L$79:$L$80)</f>
        <v>0</v>
      </c>
      <c r="M81" s="75">
        <f>SUM($M$79:$M$80)</f>
        <v>0</v>
      </c>
      <c r="N81" s="11"/>
      <c r="O81" s="4"/>
      <c r="P81" s="4"/>
      <c r="Q81" s="4"/>
      <c r="R81" s="4"/>
      <c r="S81" s="4"/>
    </row>
    <row r="82" spans="1:19" x14ac:dyDescent="0.25">
      <c r="A82" s="19" t="s">
        <v>56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11"/>
      <c r="O82" s="4"/>
      <c r="P82" s="4"/>
      <c r="Q82" s="4"/>
      <c r="R82" s="4"/>
      <c r="S82" s="4"/>
    </row>
    <row r="83" spans="1:19" x14ac:dyDescent="0.25">
      <c r="A83" s="7" t="s">
        <v>57</v>
      </c>
      <c r="B83" s="91">
        <v>37640.269999999997</v>
      </c>
      <c r="C83" s="91">
        <v>75280.53</v>
      </c>
      <c r="D83" s="57">
        <v>112920.8</v>
      </c>
      <c r="E83" s="57">
        <v>150561.06</v>
      </c>
      <c r="F83" s="57">
        <v>188201.33</v>
      </c>
      <c r="G83" s="57">
        <v>225841.6</v>
      </c>
      <c r="H83" s="57">
        <v>263481.86</v>
      </c>
      <c r="I83" s="57">
        <v>301122.13</v>
      </c>
      <c r="J83" s="57">
        <v>338762.4</v>
      </c>
      <c r="K83" s="57">
        <v>376402.66</v>
      </c>
      <c r="L83" s="57">
        <v>414042.93</v>
      </c>
      <c r="M83" s="57">
        <v>451683.19</v>
      </c>
      <c r="N83" s="11"/>
      <c r="O83" s="4"/>
      <c r="P83" s="4"/>
      <c r="Q83" s="4"/>
      <c r="R83" s="4"/>
      <c r="S83" s="4"/>
    </row>
    <row r="84" spans="1:19" x14ac:dyDescent="0.25">
      <c r="A84" s="7" t="s">
        <v>58</v>
      </c>
      <c r="B84" s="119">
        <f>$D$109*$B$126</f>
        <v>0</v>
      </c>
      <c r="C84" s="119">
        <f>$D$109*$C$126</f>
        <v>0</v>
      </c>
      <c r="D84" s="119">
        <f>$D$109*$D$126</f>
        <v>0</v>
      </c>
      <c r="E84" s="119">
        <f>$D$109*$E$126</f>
        <v>0</v>
      </c>
      <c r="F84" s="119">
        <f>$D$109*$F$126</f>
        <v>0</v>
      </c>
      <c r="G84" s="119">
        <f>$D$109*$G$126</f>
        <v>0</v>
      </c>
      <c r="H84" s="119">
        <f>$D$109*$H$126</f>
        <v>0</v>
      </c>
      <c r="I84" s="119">
        <f>$D$109*$I$126</f>
        <v>0</v>
      </c>
      <c r="J84" s="119">
        <f>$D$109*$J$126</f>
        <v>0</v>
      </c>
      <c r="K84" s="119">
        <f>$D$109*$K$126</f>
        <v>0</v>
      </c>
      <c r="L84" s="119">
        <f>$D$109*$L$126</f>
        <v>0</v>
      </c>
      <c r="M84" s="119">
        <f>$D$109*$M$126</f>
        <v>0</v>
      </c>
      <c r="N84" s="4"/>
      <c r="O84" s="4"/>
      <c r="P84" s="4"/>
      <c r="Q84" s="4"/>
      <c r="R84" s="4"/>
      <c r="S84" s="4"/>
    </row>
    <row r="85" spans="1:19" x14ac:dyDescent="0.25">
      <c r="A85" s="7" t="s">
        <v>59</v>
      </c>
      <c r="B85" s="119">
        <f>$E$110*$B$127</f>
        <v>0</v>
      </c>
      <c r="C85" s="119">
        <f>$E$110*$C$127</f>
        <v>0</v>
      </c>
      <c r="D85" s="119">
        <f>$E$110*$D$127</f>
        <v>0</v>
      </c>
      <c r="E85" s="119">
        <f>$E$110*$E$127</f>
        <v>0</v>
      </c>
      <c r="F85" s="119">
        <f>$E$110*$F$127</f>
        <v>0</v>
      </c>
      <c r="G85" s="119">
        <f>$E$110*$G$127</f>
        <v>0</v>
      </c>
      <c r="H85" s="119">
        <f>$E$110*$H$127</f>
        <v>0</v>
      </c>
      <c r="I85" s="119">
        <f>$E$110*$I$127</f>
        <v>0</v>
      </c>
      <c r="J85" s="119">
        <f>$E$110*$J$127</f>
        <v>0</v>
      </c>
      <c r="K85" s="119">
        <f>$E$110*$K$127</f>
        <v>0</v>
      </c>
      <c r="L85" s="119">
        <f>$E$110*$L$127</f>
        <v>0</v>
      </c>
      <c r="M85" s="119">
        <f>$E$110*$M$127</f>
        <v>0</v>
      </c>
      <c r="N85" s="4"/>
      <c r="O85" s="8"/>
      <c r="P85" s="11"/>
      <c r="Q85" s="4"/>
      <c r="R85" s="4"/>
      <c r="S85" s="4"/>
    </row>
    <row r="86" spans="1:19" x14ac:dyDescent="0.25">
      <c r="A86" s="7" t="s">
        <v>60</v>
      </c>
      <c r="B86" s="119">
        <f>$E$117*$B$128</f>
        <v>0</v>
      </c>
      <c r="C86" s="119">
        <f>$E$117*$C$128</f>
        <v>0</v>
      </c>
      <c r="D86" s="119">
        <f>$E$117*$D$128</f>
        <v>0</v>
      </c>
      <c r="E86" s="119">
        <f>$E$117*$E$128</f>
        <v>0</v>
      </c>
      <c r="F86" s="119">
        <f>$E$117*$F$128</f>
        <v>0</v>
      </c>
      <c r="G86" s="119">
        <f>$E$117*$G$128</f>
        <v>0</v>
      </c>
      <c r="H86" s="119">
        <f>$E$117*$H$128</f>
        <v>0</v>
      </c>
      <c r="I86" s="119">
        <f>$E$117*$I$128</f>
        <v>0</v>
      </c>
      <c r="J86" s="119">
        <f>$E$117*$J$128</f>
        <v>0</v>
      </c>
      <c r="K86" s="119">
        <f>$E$117*$K$128</f>
        <v>0</v>
      </c>
      <c r="L86" s="119">
        <f>$E$117*$L$128</f>
        <v>0</v>
      </c>
      <c r="M86" s="119">
        <f>$E$117*$M$128</f>
        <v>0</v>
      </c>
      <c r="N86" s="4"/>
      <c r="O86" s="4"/>
      <c r="P86" s="4"/>
      <c r="Q86" s="4"/>
      <c r="R86" s="4"/>
      <c r="S86" s="4"/>
    </row>
    <row r="87" spans="1:19" x14ac:dyDescent="0.25">
      <c r="A87" s="7" t="s">
        <v>61</v>
      </c>
      <c r="B87" s="57">
        <v>180673.28</v>
      </c>
      <c r="C87" s="57">
        <v>361346.56</v>
      </c>
      <c r="D87" s="57">
        <v>542019.83999999997</v>
      </c>
      <c r="E87" s="57">
        <v>722693.12</v>
      </c>
      <c r="F87" s="57">
        <v>903366.39</v>
      </c>
      <c r="G87" s="57">
        <v>1084039.67</v>
      </c>
      <c r="H87" s="57">
        <v>1264712.95</v>
      </c>
      <c r="I87" s="57">
        <v>1445386.23</v>
      </c>
      <c r="J87" s="57">
        <v>1626059.51</v>
      </c>
      <c r="K87" s="57">
        <v>1806732.79</v>
      </c>
      <c r="L87" s="57">
        <v>1987406.07</v>
      </c>
      <c r="M87" s="57">
        <v>2168079.35</v>
      </c>
      <c r="N87" s="4"/>
      <c r="O87" s="4"/>
      <c r="P87" s="4"/>
      <c r="Q87" s="4"/>
      <c r="R87" s="4"/>
      <c r="S87" s="4"/>
    </row>
    <row r="88" spans="1:19" x14ac:dyDescent="0.25">
      <c r="A88" s="40" t="s">
        <v>62</v>
      </c>
      <c r="B88" s="95">
        <f>IF($B$45&gt;404062,0,IF($B$149&gt;0,$B$149,0))</f>
        <v>0</v>
      </c>
      <c r="C88" s="95">
        <f>IF($C$45&gt;404062,0,IF($C$149&gt;0,$C$149,0))</f>
        <v>0</v>
      </c>
      <c r="D88" s="95">
        <f>IF($D$45&gt;404062,0,IF($D$149&gt;0,$D$149,0))</f>
        <v>0</v>
      </c>
      <c r="E88" s="95">
        <f>IF($E$45&gt;404062,0,IF($E$149&gt;0,$E$149,0))</f>
        <v>0</v>
      </c>
      <c r="F88" s="95">
        <f>IF($F$45&gt;506230,0,IF($F$149&gt;0,$F$149,0))</f>
        <v>0</v>
      </c>
      <c r="G88" s="95">
        <f>IF($G$45&gt;506230,0,IF($G$149&gt;0,IF($G$59&lt;0,$G$149,$G$149-($G$59*$C$168)),0))</f>
        <v>0</v>
      </c>
      <c r="H88" s="95">
        <f>IF($H$45&gt;506230,0,IF($H$149&gt;0, $H$149,0))</f>
        <v>0</v>
      </c>
      <c r="I88" s="95">
        <f>IF($I$45&gt;700875,0,IF($I$149&gt;0, $I$149,0))</f>
        <v>0</v>
      </c>
      <c r="J88" s="95">
        <f>IF($J$45&gt;700875,0,IF($J$149&gt;0, $J$149,0))</f>
        <v>0</v>
      </c>
      <c r="K88" s="95">
        <f>IF($K$45&gt;700875,0,IF($K$149&gt;0,$K$149,0))</f>
        <v>0</v>
      </c>
      <c r="L88" s="95">
        <f>IF($L$45&gt;700875,0,IF($L$149&gt;0,$L$149,0))</f>
        <v>0</v>
      </c>
      <c r="M88" s="95">
        <f>IF($M$45&gt;700875,0,IF($M$149&gt;0,IF($M$59&lt;0,$M$149,$M$149-($M$59*$C$168)),0))</f>
        <v>0</v>
      </c>
      <c r="N88" s="4"/>
      <c r="O88" s="4"/>
      <c r="P88" s="4"/>
      <c r="Q88" s="4"/>
      <c r="R88" s="4"/>
      <c r="S88" s="4"/>
    </row>
    <row r="89" spans="1:19" x14ac:dyDescent="0.25">
      <c r="A89" s="45" t="s">
        <v>63</v>
      </c>
      <c r="B89" s="76">
        <f>$B$88</f>
        <v>0</v>
      </c>
      <c r="C89" s="76">
        <f>$B$89+$C$88</f>
        <v>0</v>
      </c>
      <c r="D89" s="76">
        <f>$C$89+$D$88</f>
        <v>0</v>
      </c>
      <c r="E89" s="76">
        <f>$D$89+$E$88</f>
        <v>0</v>
      </c>
      <c r="F89" s="76">
        <f>$E$89+$F$88</f>
        <v>0</v>
      </c>
      <c r="G89" s="76">
        <f>$F$89+$G$88</f>
        <v>0</v>
      </c>
      <c r="H89" s="76">
        <f>$G$89+$H$88</f>
        <v>0</v>
      </c>
      <c r="I89" s="76">
        <f>$H$89+$I$88</f>
        <v>0</v>
      </c>
      <c r="J89" s="76">
        <f>$I$89+$J$88</f>
        <v>0</v>
      </c>
      <c r="K89" s="76">
        <f>$J$89+$K$88</f>
        <v>0</v>
      </c>
      <c r="L89" s="76">
        <f>$K$89+$L$88</f>
        <v>0</v>
      </c>
      <c r="M89" s="76">
        <f>$L$89+$M$88</f>
        <v>0</v>
      </c>
      <c r="N89" s="4"/>
      <c r="O89" s="4"/>
      <c r="P89" s="4"/>
      <c r="Q89" s="4"/>
      <c r="R89" s="4"/>
      <c r="S89" s="4"/>
    </row>
    <row r="90" spans="1:19" x14ac:dyDescent="0.25">
      <c r="A90" s="52" t="s">
        <v>64</v>
      </c>
      <c r="B90" s="97">
        <f>IF(AND($B$45&gt;404062, $B$45&lt;466017), VLOOKUP($B$45, AnexoIV!$A$3:$C$233,3,TRUE),0)</f>
        <v>0</v>
      </c>
      <c r="C90" s="97">
        <f>IF(AND($C$45&gt;404062, $C$45&lt;466017), VLOOKUP($C$45, AnexoIV!$A$3:$C$233,3,TRUE),0)</f>
        <v>0</v>
      </c>
      <c r="D90" s="97">
        <f>IF(AND($D$45&gt;404062, $D$45&lt;466017), VLOOKUP($D$45, AnexoIV!$A$3:$C$233,3,TRUE),0)</f>
        <v>0</v>
      </c>
      <c r="E90" s="97">
        <f>IF(AND($E$45&gt;404062, $E$45&lt;466017), VLOOKUP($E$45, AnexoIV!$A$3:$C$233,3,TRUE),0)</f>
        <v>0</v>
      </c>
      <c r="F90" s="97">
        <f>IF(AND($F$45&gt;506230, $F$45&lt;583851), VLOOKUP($F$45, AnexoIV!$E$3:$G$233,3,TRUE),0)</f>
        <v>0</v>
      </c>
      <c r="G90" s="97">
        <f>IF(AND($G$45&gt;506230, $G$45&lt;583851), VLOOKUP($G$45, AnexoIV!$E$3:$G$233,3,TRUE),0)</f>
        <v>0</v>
      </c>
      <c r="H90" s="97">
        <f>IF(AND($H$45&gt;506230, $H$45&lt;583851), VLOOKUP($H$45, AnexoIV!$E$3:$G$233,3,TRUE),0)</f>
        <v>0</v>
      </c>
      <c r="I90" s="97">
        <f>IF(AND($I$45&gt;700875, $I$45&lt;808341), VLOOKUP($I$45, AnexoIV!$E$3:$K$233,3,TRUE),0)</f>
        <v>0</v>
      </c>
      <c r="J90" s="97">
        <f>IF(AND($J$45&gt;700875, $J$45&lt;808341), VLOOKUP($J$45, AnexoIV!$E$3:$K$233,3,TRUE),0)</f>
        <v>0</v>
      </c>
      <c r="K90" s="97">
        <f>IF(AND($K$45&gt;700875, $K$45&lt;808341), VLOOKUP($K$45, AnexoIV!$E$3:$K$233,3,TRUE),0)</f>
        <v>0</v>
      </c>
      <c r="L90" s="97">
        <f>IF(AND($L$45&gt;700875, $L$45&lt;808341), VLOOKUP($L$45, AnexoIV!$E$3:$K$233,3,TRUE),0)</f>
        <v>0</v>
      </c>
      <c r="M90" s="97">
        <f>IF(AND($M$45&gt;700875, $M$45&lt;808341), VLOOKUP($M$45, AnexoIV!$E$3:$K$233,3,TRUE),0)</f>
        <v>0</v>
      </c>
      <c r="N90" s="4"/>
      <c r="O90" s="4"/>
      <c r="P90" s="4"/>
      <c r="Q90" s="4"/>
      <c r="R90" s="4"/>
      <c r="S90" s="4"/>
    </row>
    <row r="91" spans="1:19" x14ac:dyDescent="0.25">
      <c r="A91" s="39" t="s">
        <v>65</v>
      </c>
      <c r="B91" s="68">
        <f>$B$90</f>
        <v>0</v>
      </c>
      <c r="C91" s="68">
        <f>$B$91+$C$90</f>
        <v>0</v>
      </c>
      <c r="D91" s="68">
        <f>$C$91+$D$90</f>
        <v>0</v>
      </c>
      <c r="E91" s="68">
        <f>$D$91+$E$90</f>
        <v>0</v>
      </c>
      <c r="F91" s="68">
        <f>$E$91+$F$90</f>
        <v>0</v>
      </c>
      <c r="G91" s="68">
        <f>$F$91+$G$90</f>
        <v>0</v>
      </c>
      <c r="H91" s="68">
        <f>$G$91+$H$90</f>
        <v>0</v>
      </c>
      <c r="I91" s="68">
        <f>$H$91+$I$90</f>
        <v>0</v>
      </c>
      <c r="J91" s="68">
        <f>$I$91+$J$90</f>
        <v>0</v>
      </c>
      <c r="K91" s="68">
        <f>$J$91+$K$90</f>
        <v>0</v>
      </c>
      <c r="L91" s="68">
        <f>$K$91+$L$90</f>
        <v>0</v>
      </c>
      <c r="M91" s="68">
        <f>$L$91+$M$90</f>
        <v>0</v>
      </c>
      <c r="N91" s="4"/>
      <c r="O91" s="4"/>
      <c r="P91" s="4"/>
      <c r="Q91" s="4"/>
      <c r="R91" s="4"/>
      <c r="S91" s="4"/>
    </row>
    <row r="92" spans="1:19" x14ac:dyDescent="0.25">
      <c r="A92" s="10" t="s">
        <v>66</v>
      </c>
      <c r="B92" s="61">
        <f>$B$83+$B$84+$B$85+$B$86+$B$87+$B$89+$B$91</f>
        <v>218313.55</v>
      </c>
      <c r="C92" s="61">
        <f>$C$83+$C$84+$C$85+$C$86+$C$87+$C$89+$C$91</f>
        <v>436627.08999999997</v>
      </c>
      <c r="D92" s="61">
        <f>$D$83+$D$84+$D$85+$D$86+$D$87+$D$89+$D$91</f>
        <v>654940.64</v>
      </c>
      <c r="E92" s="61">
        <f>$E$83+$E$84+$E$85+$E$86+$E$87+$E$89+$E$91</f>
        <v>873254.17999999993</v>
      </c>
      <c r="F92" s="61">
        <f>$F$83+$F$84+$F$85+$F$86+$F$87+$F$89+$F$91</f>
        <v>1091567.72</v>
      </c>
      <c r="G92" s="61">
        <f>$G$83+$G$84+$G$85+$G$86+$G$87+$G$89+$G$91</f>
        <v>1309881.27</v>
      </c>
      <c r="H92" s="61">
        <f>$H$83+$H$84+$H$85+$H$86+$H$87+$H$89+$H$91</f>
        <v>1528194.81</v>
      </c>
      <c r="I92" s="61">
        <f>$I$83+$I$84+$I$85+$I$86+$I$87+$I$89+$I$91</f>
        <v>1746508.3599999999</v>
      </c>
      <c r="J92" s="61">
        <f>$J$83+$J$84+$J$85+$J$86+$J$87+$J$89+$J$91</f>
        <v>1964821.9100000001</v>
      </c>
      <c r="K92" s="61">
        <f>$K$83+$K$84+$K$85+$K$86+$K$87+$K$89+$K$91</f>
        <v>2183135.4500000002</v>
      </c>
      <c r="L92" s="61">
        <f>$L$83+$L$84+$L$85+$L$86+$L$87+$L$89+$L$91</f>
        <v>2401449</v>
      </c>
      <c r="M92" s="61">
        <f>$M$83+$M$84+$M$85+$M$86+$M$87+$M$89+$M$91</f>
        <v>2619762.54</v>
      </c>
      <c r="N92" s="4"/>
      <c r="O92" s="4"/>
      <c r="P92" s="4"/>
      <c r="Q92" s="4"/>
      <c r="R92" s="4"/>
      <c r="S92" s="4"/>
    </row>
    <row r="93" spans="1:19" x14ac:dyDescent="0.25">
      <c r="A93" s="3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4"/>
      <c r="P93" s="4"/>
      <c r="Q93" s="4"/>
      <c r="R93" s="4"/>
      <c r="S93" s="4"/>
    </row>
    <row r="94" spans="1:19" x14ac:dyDescent="0.25">
      <c r="A94" s="3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4"/>
      <c r="P94" s="4"/>
      <c r="Q94" s="4"/>
      <c r="R94" s="4"/>
      <c r="S94" s="4"/>
    </row>
    <row r="95" spans="1:19" x14ac:dyDescent="0.25">
      <c r="B95" s="6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4"/>
      <c r="O95" s="4"/>
      <c r="P95" s="4"/>
      <c r="Q95" s="4"/>
      <c r="R95" s="4"/>
      <c r="S95" s="4"/>
    </row>
    <row r="96" spans="1:19" hidden="1" x14ac:dyDescent="0.25">
      <c r="A96" s="15" t="s">
        <v>67</v>
      </c>
      <c r="B96" s="78" t="s">
        <v>68</v>
      </c>
      <c r="C96" s="78" t="s">
        <v>69</v>
      </c>
      <c r="D96" s="78" t="s">
        <v>70</v>
      </c>
      <c r="E96" s="78" t="s">
        <v>71</v>
      </c>
      <c r="F96" s="78" t="s">
        <v>72</v>
      </c>
      <c r="G96" s="78" t="s">
        <v>73</v>
      </c>
      <c r="H96" s="78" t="s">
        <v>74</v>
      </c>
      <c r="I96" s="78" t="s">
        <v>75</v>
      </c>
      <c r="J96" s="78" t="s">
        <v>76</v>
      </c>
      <c r="K96" s="78" t="s">
        <v>77</v>
      </c>
      <c r="L96" s="78" t="s">
        <v>78</v>
      </c>
      <c r="M96" s="79" t="s">
        <v>79</v>
      </c>
      <c r="N96" s="4"/>
      <c r="O96" s="4"/>
      <c r="P96" s="4"/>
      <c r="Q96" s="4"/>
      <c r="R96" s="4"/>
      <c r="S96" s="4"/>
    </row>
    <row r="97" spans="1:23" x14ac:dyDescent="0.25">
      <c r="A97" s="14" t="s">
        <v>80</v>
      </c>
      <c r="B97" s="80">
        <f>IF(($B$78-$B$81-$B$92)&gt;0,$B$78-$B$81-$B$92,0)</f>
        <v>0</v>
      </c>
      <c r="C97" s="80">
        <f>IF(($C$78-$C$81-$C$92)&gt;0,$C$78-$C$81-$C$92,0)</f>
        <v>0</v>
      </c>
      <c r="D97" s="80">
        <f>IF(($D$78-$D$81-$D$92)&gt;0,$D$78-$D$81-$D$92,0)</f>
        <v>0</v>
      </c>
      <c r="E97" s="80">
        <f>IF(($E$78-$E$81-$E$92)&gt;0,$E$78-$E$81-$E$92,0)</f>
        <v>0</v>
      </c>
      <c r="F97" s="80">
        <f>IF(($F$78-$F$81-$F$92)&gt;0,$F$78-$F$81-$F$92,0)</f>
        <v>0</v>
      </c>
      <c r="G97" s="80">
        <f>IF(($G$78-$G$81-$G$92)&gt;0,$G$78-$G$81-$G$92,0)</f>
        <v>0</v>
      </c>
      <c r="H97" s="80">
        <f>IF(($H$78-$H$81-$H$92)&gt;0,$H$78-$H$81-$H$92,0)</f>
        <v>0</v>
      </c>
      <c r="I97" s="80">
        <f>IF(($I$78-$I$81-$I$92)&gt;0,$I$78-$I$81-$I$92,0)</f>
        <v>0</v>
      </c>
      <c r="J97" s="80">
        <f>IF(($J$78-$J$81-$J$92)&gt;0,$J$78-$J$81-$J$92,0)</f>
        <v>0</v>
      </c>
      <c r="K97" s="80">
        <f>IF(($K$78-$K$81-$K$92)&gt;0,$K$78-$K$81-$K$92,0)</f>
        <v>0</v>
      </c>
      <c r="L97" s="80">
        <f>IF(($L$78-$L$81-$L$92)&gt;0,$L$78-$L$81-$L$92,0)</f>
        <v>0</v>
      </c>
      <c r="M97" s="80">
        <f>IF(($M$78-$M$81-$M$92)&gt;0,$M$78-$M$81-$M$92,0)</f>
        <v>0</v>
      </c>
      <c r="N97" s="4"/>
      <c r="O97" s="4"/>
      <c r="P97" s="4"/>
      <c r="Q97" s="4"/>
      <c r="R97" s="4"/>
      <c r="S97" s="4"/>
    </row>
    <row r="98" spans="1:23" x14ac:dyDescent="0.25">
      <c r="A98" s="16" t="s">
        <v>164</v>
      </c>
      <c r="B98" s="81">
        <f>'Escala Impuesto 2023 mensual'!D4</f>
        <v>0</v>
      </c>
      <c r="C98" s="81">
        <f>'Escala Impuesto 2023 mensual'!E4</f>
        <v>0</v>
      </c>
      <c r="D98" s="81">
        <f>'Escala Impuesto 2023 mensual'!F4</f>
        <v>0</v>
      </c>
      <c r="E98" s="81">
        <f>'Escala Impuesto 2023 mensual'!G4</f>
        <v>0</v>
      </c>
      <c r="F98" s="81">
        <f>'Escala Impuesto 2023 mensual'!H4</f>
        <v>0</v>
      </c>
      <c r="G98" s="81">
        <f>'Escala Impuesto 2023 mensual'!I4</f>
        <v>0</v>
      </c>
      <c r="H98" s="81">
        <f>'Escala Impuesto 2023 mensual'!J4</f>
        <v>0</v>
      </c>
      <c r="I98" s="81">
        <f>'Escala Impuesto 2023 mensual'!K4</f>
        <v>0</v>
      </c>
      <c r="J98" s="81">
        <f>'Escala Impuesto 2023 mensual'!L4</f>
        <v>0</v>
      </c>
      <c r="K98" s="81">
        <f>'Escala Impuesto 2023 mensual'!M4</f>
        <v>0</v>
      </c>
      <c r="L98" s="81">
        <f>'Escala Impuesto 2023 mensual'!N4</f>
        <v>0</v>
      </c>
      <c r="M98" s="81">
        <f>'Escala Impuesto 2023 mensual'!O4</f>
        <v>0</v>
      </c>
      <c r="N98" s="4"/>
      <c r="O98" s="4"/>
      <c r="P98" s="4"/>
      <c r="Q98" s="4"/>
      <c r="R98" s="4"/>
      <c r="S98" s="4"/>
    </row>
    <row r="99" spans="1:23" x14ac:dyDescent="0.25">
      <c r="A99" s="22" t="s">
        <v>165</v>
      </c>
      <c r="B99" s="118">
        <f>$B$98</f>
        <v>0</v>
      </c>
      <c r="C99" s="118">
        <f>$C$98-$B$98</f>
        <v>0</v>
      </c>
      <c r="D99" s="118">
        <f>$D$98-$C$98</f>
        <v>0</v>
      </c>
      <c r="E99" s="118">
        <f>$E$98-$D$98</f>
        <v>0</v>
      </c>
      <c r="F99" s="118">
        <f>$F$98-$E$98</f>
        <v>0</v>
      </c>
      <c r="G99" s="118">
        <f>$G$98-$F$98</f>
        <v>0</v>
      </c>
      <c r="H99" s="118">
        <f>$H$98-$G$98</f>
        <v>0</v>
      </c>
      <c r="I99" s="118">
        <f>$I$98-$H$98</f>
        <v>0</v>
      </c>
      <c r="J99" s="118">
        <f>$J$98-$I$98</f>
        <v>0</v>
      </c>
      <c r="K99" s="118">
        <f>$K$98-$J$98</f>
        <v>0</v>
      </c>
      <c r="L99" s="118">
        <f>$L$98-$K$98</f>
        <v>0</v>
      </c>
      <c r="M99" s="118">
        <f>$M$98-$L$98</f>
        <v>0</v>
      </c>
      <c r="N99" s="4"/>
      <c r="O99" s="4"/>
      <c r="P99" s="4"/>
      <c r="Q99" s="4"/>
      <c r="R99" s="4"/>
      <c r="S99" s="4"/>
    </row>
    <row r="100" spans="1:23" x14ac:dyDescent="0.25">
      <c r="A100" s="128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4"/>
      <c r="O100" s="4"/>
      <c r="P100" s="4"/>
      <c r="Q100" s="4"/>
      <c r="R100" s="4"/>
      <c r="S100" s="4"/>
    </row>
    <row r="101" spans="1:23" x14ac:dyDescent="0.25">
      <c r="A101" s="39" t="s">
        <v>166</v>
      </c>
      <c r="B101" s="132">
        <f>+B99</f>
        <v>0</v>
      </c>
      <c r="C101" s="132">
        <f t="shared" ref="C101:M101" si="17">+C99</f>
        <v>0</v>
      </c>
      <c r="D101" s="132">
        <f t="shared" si="17"/>
        <v>0</v>
      </c>
      <c r="E101" s="132">
        <f t="shared" si="17"/>
        <v>0</v>
      </c>
      <c r="F101" s="132">
        <f t="shared" si="17"/>
        <v>0</v>
      </c>
      <c r="G101" s="132">
        <f t="shared" si="17"/>
        <v>0</v>
      </c>
      <c r="H101" s="132">
        <f t="shared" si="17"/>
        <v>0</v>
      </c>
      <c r="I101" s="132">
        <f t="shared" si="17"/>
        <v>0</v>
      </c>
      <c r="J101" s="132">
        <f t="shared" si="17"/>
        <v>0</v>
      </c>
      <c r="K101" s="132">
        <f t="shared" si="17"/>
        <v>0</v>
      </c>
      <c r="L101" s="132">
        <f t="shared" si="17"/>
        <v>0</v>
      </c>
      <c r="M101" s="132">
        <f t="shared" si="17"/>
        <v>0</v>
      </c>
      <c r="O101" s="4"/>
      <c r="P101" s="4"/>
      <c r="Q101" s="4"/>
      <c r="R101" s="4"/>
      <c r="S101" s="4"/>
    </row>
    <row r="102" spans="1:23" x14ac:dyDescent="0.25">
      <c r="A102" s="39" t="s">
        <v>167</v>
      </c>
      <c r="B102" s="132">
        <f>+B98</f>
        <v>0</v>
      </c>
      <c r="C102" s="132">
        <f t="shared" ref="C102:M102" si="18">+C98</f>
        <v>0</v>
      </c>
      <c r="D102" s="132">
        <f t="shared" si="18"/>
        <v>0</v>
      </c>
      <c r="E102" s="132">
        <f t="shared" si="18"/>
        <v>0</v>
      </c>
      <c r="F102" s="132">
        <f t="shared" si="18"/>
        <v>0</v>
      </c>
      <c r="G102" s="132">
        <f t="shared" si="18"/>
        <v>0</v>
      </c>
      <c r="H102" s="132">
        <f t="shared" si="18"/>
        <v>0</v>
      </c>
      <c r="I102" s="132">
        <f t="shared" si="18"/>
        <v>0</v>
      </c>
      <c r="J102" s="132">
        <f t="shared" si="18"/>
        <v>0</v>
      </c>
      <c r="K102" s="132">
        <f t="shared" si="18"/>
        <v>0</v>
      </c>
      <c r="L102" s="132">
        <f t="shared" si="18"/>
        <v>0</v>
      </c>
      <c r="M102" s="132">
        <f t="shared" si="18"/>
        <v>0</v>
      </c>
    </row>
    <row r="103" spans="1:23" x14ac:dyDescent="0.25">
      <c r="A103" s="130" t="s">
        <v>168</v>
      </c>
      <c r="B103" s="131">
        <f>+B99-B101</f>
        <v>0</v>
      </c>
      <c r="C103" s="131">
        <f t="shared" ref="C103:M103" si="19">+C99-C101</f>
        <v>0</v>
      </c>
      <c r="D103" s="131">
        <f t="shared" si="19"/>
        <v>0</v>
      </c>
      <c r="E103" s="131">
        <f t="shared" si="19"/>
        <v>0</v>
      </c>
      <c r="F103" s="131">
        <f t="shared" si="19"/>
        <v>0</v>
      </c>
      <c r="G103" s="131">
        <f t="shared" si="19"/>
        <v>0</v>
      </c>
      <c r="H103" s="131">
        <f t="shared" si="19"/>
        <v>0</v>
      </c>
      <c r="I103" s="131">
        <f t="shared" si="19"/>
        <v>0</v>
      </c>
      <c r="J103" s="131">
        <f t="shared" si="19"/>
        <v>0</v>
      </c>
      <c r="K103" s="131">
        <f t="shared" si="19"/>
        <v>0</v>
      </c>
      <c r="L103" s="131">
        <f t="shared" si="19"/>
        <v>0</v>
      </c>
      <c r="M103" s="131">
        <f t="shared" si="19"/>
        <v>0</v>
      </c>
      <c r="N103" s="4"/>
    </row>
    <row r="104" spans="1:23" x14ac:dyDescent="0.25">
      <c r="A104" s="130" t="s">
        <v>169</v>
      </c>
      <c r="B104" s="131">
        <f>+B98-B102</f>
        <v>0</v>
      </c>
      <c r="C104" s="131">
        <f t="shared" ref="C104:M104" si="20">+C98-C102</f>
        <v>0</v>
      </c>
      <c r="D104" s="131">
        <f t="shared" si="20"/>
        <v>0</v>
      </c>
      <c r="E104" s="131">
        <f t="shared" si="20"/>
        <v>0</v>
      </c>
      <c r="F104" s="131">
        <f t="shared" si="20"/>
        <v>0</v>
      </c>
      <c r="G104" s="131">
        <f t="shared" si="20"/>
        <v>0</v>
      </c>
      <c r="H104" s="131">
        <f t="shared" si="20"/>
        <v>0</v>
      </c>
      <c r="I104" s="131">
        <f t="shared" si="20"/>
        <v>0</v>
      </c>
      <c r="J104" s="131">
        <f t="shared" si="20"/>
        <v>0</v>
      </c>
      <c r="K104" s="131">
        <f t="shared" si="20"/>
        <v>0</v>
      </c>
      <c r="L104" s="131">
        <f t="shared" si="20"/>
        <v>0</v>
      </c>
      <c r="M104" s="131">
        <f t="shared" si="20"/>
        <v>0</v>
      </c>
      <c r="N104" s="4"/>
      <c r="P104" s="4"/>
      <c r="Q104" s="4"/>
      <c r="R104" s="4"/>
      <c r="S104" s="4"/>
    </row>
    <row r="105" spans="1:23" x14ac:dyDescent="0.25">
      <c r="G105" s="4"/>
      <c r="I105" s="4"/>
      <c r="N105" s="4"/>
      <c r="P105" s="4"/>
      <c r="Q105" s="4"/>
      <c r="R105" s="4"/>
      <c r="S105" s="4"/>
    </row>
    <row r="106" spans="1:23" x14ac:dyDescent="0.25">
      <c r="A106" s="3" t="s">
        <v>81</v>
      </c>
      <c r="G106" s="4"/>
      <c r="I106" s="4"/>
      <c r="N106" s="4"/>
      <c r="P106" s="4"/>
      <c r="Q106" s="4"/>
      <c r="R106" s="4"/>
      <c r="S106" s="4"/>
    </row>
    <row r="107" spans="1:23" x14ac:dyDescent="0.25">
      <c r="A107" s="3"/>
      <c r="G107" s="4"/>
      <c r="I107" s="4"/>
      <c r="P107" s="4"/>
      <c r="Q107" s="4"/>
      <c r="R107" s="4"/>
      <c r="S107" s="4"/>
    </row>
    <row r="108" spans="1:23" s="27" customFormat="1" ht="60" x14ac:dyDescent="0.25">
      <c r="A108" s="103" t="s">
        <v>82</v>
      </c>
      <c r="B108" s="104"/>
      <c r="C108" s="105" t="s">
        <v>141</v>
      </c>
      <c r="D108" s="104"/>
      <c r="E108" s="104"/>
      <c r="N108"/>
      <c r="O108"/>
      <c r="P108"/>
      <c r="Q108"/>
      <c r="R108"/>
      <c r="S108"/>
      <c r="T108"/>
      <c r="U108"/>
      <c r="V108"/>
      <c r="W108"/>
    </row>
    <row r="109" spans="1:23" s="27" customFormat="1" x14ac:dyDescent="0.25">
      <c r="A109" s="106" t="s">
        <v>151</v>
      </c>
      <c r="B109" s="107">
        <v>0</v>
      </c>
      <c r="C109" s="107">
        <v>12</v>
      </c>
      <c r="D109" s="77">
        <f>+C109/12*B109</f>
        <v>0</v>
      </c>
      <c r="E109" s="108"/>
      <c r="F109" s="28"/>
      <c r="G109" s="28"/>
      <c r="H109" s="28"/>
      <c r="I109" s="28"/>
      <c r="J109" s="28"/>
      <c r="K109" s="28"/>
      <c r="L109" s="28"/>
      <c r="M109" s="28"/>
      <c r="N109"/>
      <c r="O109"/>
      <c r="P109"/>
      <c r="Q109"/>
      <c r="R109"/>
      <c r="S109"/>
      <c r="T109"/>
      <c r="U109"/>
      <c r="V109"/>
      <c r="W109"/>
    </row>
    <row r="110" spans="1:23" s="27" customFormat="1" ht="45" x14ac:dyDescent="0.25">
      <c r="A110" s="109" t="s">
        <v>59</v>
      </c>
      <c r="B110" s="110" t="s">
        <v>152</v>
      </c>
      <c r="C110" s="114"/>
      <c r="D110" s="114"/>
      <c r="E110" s="115">
        <f>SUM(E111:E116)</f>
        <v>0</v>
      </c>
      <c r="G110" s="29"/>
      <c r="I110" s="29"/>
      <c r="O110"/>
      <c r="P110"/>
      <c r="Q110"/>
      <c r="R110"/>
      <c r="S110"/>
      <c r="T110"/>
      <c r="U110"/>
      <c r="V110"/>
    </row>
    <row r="111" spans="1:23" s="27" customFormat="1" x14ac:dyDescent="0.25">
      <c r="A111" s="111" t="s">
        <v>142</v>
      </c>
      <c r="B111" s="112">
        <v>0</v>
      </c>
      <c r="C111" s="113">
        <v>12</v>
      </c>
      <c r="D111" s="116">
        <f t="shared" ref="D111:D120" si="21">+C111/12</f>
        <v>1</v>
      </c>
      <c r="E111" s="116">
        <f>+B111*D111</f>
        <v>0</v>
      </c>
      <c r="G111" s="29"/>
      <c r="I111" s="29"/>
    </row>
    <row r="112" spans="1:23" s="27" customFormat="1" x14ac:dyDescent="0.25">
      <c r="A112" s="111" t="s">
        <v>143</v>
      </c>
      <c r="B112" s="112">
        <v>0</v>
      </c>
      <c r="C112" s="113">
        <v>12</v>
      </c>
      <c r="D112" s="116">
        <f t="shared" si="21"/>
        <v>1</v>
      </c>
      <c r="E112" s="116">
        <f t="shared" ref="E112:E120" si="22">+B112*D112</f>
        <v>0</v>
      </c>
      <c r="G112" s="29"/>
      <c r="I112" s="29"/>
    </row>
    <row r="113" spans="1:23" s="27" customFormat="1" x14ac:dyDescent="0.25">
      <c r="A113" s="111" t="s">
        <v>144</v>
      </c>
      <c r="B113" s="112">
        <v>0</v>
      </c>
      <c r="C113" s="113">
        <v>12</v>
      </c>
      <c r="D113" s="116">
        <f t="shared" si="21"/>
        <v>1</v>
      </c>
      <c r="E113" s="116">
        <f t="shared" si="22"/>
        <v>0</v>
      </c>
      <c r="G113" s="29"/>
      <c r="I113" s="29"/>
    </row>
    <row r="114" spans="1:23" s="27" customFormat="1" x14ac:dyDescent="0.25">
      <c r="A114" s="111" t="s">
        <v>145</v>
      </c>
      <c r="B114" s="112">
        <v>0</v>
      </c>
      <c r="C114" s="113">
        <v>12</v>
      </c>
      <c r="D114" s="116">
        <f t="shared" si="21"/>
        <v>1</v>
      </c>
      <c r="E114" s="116">
        <f t="shared" si="22"/>
        <v>0</v>
      </c>
      <c r="G114" s="29"/>
      <c r="I114" s="29"/>
    </row>
    <row r="115" spans="1:23" s="27" customFormat="1" x14ac:dyDescent="0.25">
      <c r="A115" s="111" t="s">
        <v>146</v>
      </c>
      <c r="B115" s="112">
        <v>0</v>
      </c>
      <c r="C115" s="113">
        <v>12</v>
      </c>
      <c r="D115" s="116">
        <f t="shared" si="21"/>
        <v>1</v>
      </c>
      <c r="E115" s="116">
        <f t="shared" si="22"/>
        <v>0</v>
      </c>
      <c r="G115" s="29"/>
      <c r="I115" s="29"/>
    </row>
    <row r="116" spans="1:23" s="27" customFormat="1" x14ac:dyDescent="0.25">
      <c r="A116" s="111" t="s">
        <v>147</v>
      </c>
      <c r="B116" s="112">
        <v>0</v>
      </c>
      <c r="C116" s="113">
        <v>12</v>
      </c>
      <c r="D116" s="116">
        <f t="shared" si="21"/>
        <v>1</v>
      </c>
      <c r="E116" s="116">
        <f t="shared" si="22"/>
        <v>0</v>
      </c>
      <c r="G116" s="29"/>
      <c r="I116" s="29"/>
    </row>
    <row r="117" spans="1:23" s="27" customFormat="1" ht="45" x14ac:dyDescent="0.25">
      <c r="A117" s="109" t="s">
        <v>60</v>
      </c>
      <c r="B117" s="110" t="s">
        <v>152</v>
      </c>
      <c r="C117" s="114"/>
      <c r="D117" s="114"/>
      <c r="E117" s="115">
        <f>SUM(E118:E120)</f>
        <v>0</v>
      </c>
      <c r="G117" s="29"/>
      <c r="I117" s="29"/>
    </row>
    <row r="118" spans="1:23" s="27" customFormat="1" x14ac:dyDescent="0.25">
      <c r="A118" s="111" t="s">
        <v>148</v>
      </c>
      <c r="B118" s="112">
        <v>0</v>
      </c>
      <c r="C118" s="113">
        <v>12</v>
      </c>
      <c r="D118" s="116">
        <f t="shared" si="21"/>
        <v>1</v>
      </c>
      <c r="E118" s="116">
        <f t="shared" si="22"/>
        <v>0</v>
      </c>
      <c r="G118" s="29"/>
      <c r="I118" s="29"/>
    </row>
    <row r="119" spans="1:23" s="27" customFormat="1" x14ac:dyDescent="0.25">
      <c r="A119" s="111" t="s">
        <v>149</v>
      </c>
      <c r="B119" s="112">
        <v>0</v>
      </c>
      <c r="C119" s="113">
        <v>12</v>
      </c>
      <c r="D119" s="116">
        <f t="shared" si="21"/>
        <v>1</v>
      </c>
      <c r="E119" s="116">
        <f t="shared" si="22"/>
        <v>0</v>
      </c>
      <c r="G119" s="29"/>
      <c r="I119" s="29"/>
    </row>
    <row r="120" spans="1:23" s="27" customFormat="1" x14ac:dyDescent="0.25">
      <c r="A120" s="111" t="s">
        <v>150</v>
      </c>
      <c r="B120" s="112">
        <v>0</v>
      </c>
      <c r="C120" s="113">
        <v>12</v>
      </c>
      <c r="D120" s="116">
        <f t="shared" si="21"/>
        <v>1</v>
      </c>
      <c r="E120" s="116">
        <f t="shared" si="22"/>
        <v>0</v>
      </c>
      <c r="G120" s="29"/>
      <c r="I120" s="29"/>
    </row>
    <row r="121" spans="1:23" s="27" customFormat="1" hidden="1" x14ac:dyDescent="0.25">
      <c r="B121" s="102">
        <v>0</v>
      </c>
      <c r="G121" s="29"/>
      <c r="I121" s="29"/>
    </row>
    <row r="122" spans="1:23" s="27" customFormat="1" hidden="1" x14ac:dyDescent="0.25">
      <c r="B122" s="100">
        <v>0.5</v>
      </c>
      <c r="G122" s="29"/>
      <c r="I122" s="29"/>
    </row>
    <row r="123" spans="1:23" hidden="1" x14ac:dyDescent="0.25">
      <c r="A123" s="3"/>
      <c r="B123" s="101">
        <v>1</v>
      </c>
      <c r="G123" s="4"/>
      <c r="I123" s="4"/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:23" x14ac:dyDescent="0.25">
      <c r="A124" s="20"/>
      <c r="B124" s="25" t="s">
        <v>1</v>
      </c>
      <c r="C124" s="25" t="s">
        <v>2</v>
      </c>
      <c r="D124" s="25" t="s">
        <v>3</v>
      </c>
      <c r="E124" s="25" t="s">
        <v>4</v>
      </c>
      <c r="F124" s="25" t="s">
        <v>5</v>
      </c>
      <c r="G124" s="25" t="s">
        <v>6</v>
      </c>
      <c r="H124" s="25" t="s">
        <v>7</v>
      </c>
      <c r="I124" s="25" t="s">
        <v>8</v>
      </c>
      <c r="J124" s="25" t="s">
        <v>9</v>
      </c>
      <c r="K124" s="25" t="s">
        <v>10</v>
      </c>
      <c r="L124" s="25" t="s">
        <v>11</v>
      </c>
      <c r="M124" s="25" t="s">
        <v>12</v>
      </c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 hidden="1" x14ac:dyDescent="0.25">
      <c r="A125" s="3"/>
      <c r="G125" s="4"/>
      <c r="I125" s="4"/>
      <c r="O125" s="27"/>
      <c r="P125" s="27"/>
      <c r="Q125" s="27"/>
      <c r="R125" s="27"/>
      <c r="S125" s="27"/>
      <c r="T125" s="27"/>
      <c r="U125" s="27"/>
      <c r="V125" s="27"/>
    </row>
    <row r="126" spans="1:23" hidden="1" x14ac:dyDescent="0.25">
      <c r="A126" s="7" t="s">
        <v>58</v>
      </c>
      <c r="B126" s="92">
        <v>35090.69</v>
      </c>
      <c r="C126" s="92">
        <v>70181.37</v>
      </c>
      <c r="D126" s="92">
        <v>105272.06</v>
      </c>
      <c r="E126" s="92">
        <v>140362.75</v>
      </c>
      <c r="F126" s="92">
        <v>175453.43</v>
      </c>
      <c r="G126" s="92">
        <v>210544.12</v>
      </c>
      <c r="H126" s="92">
        <v>245634.8</v>
      </c>
      <c r="I126" s="92">
        <v>280725.49</v>
      </c>
      <c r="J126" s="92">
        <v>315816.18</v>
      </c>
      <c r="K126" s="92">
        <v>350906.86</v>
      </c>
      <c r="L126" s="92">
        <v>385997.55</v>
      </c>
      <c r="M126" s="92">
        <v>421088.24</v>
      </c>
    </row>
    <row r="127" spans="1:23" hidden="1" x14ac:dyDescent="0.25">
      <c r="A127" s="7" t="s">
        <v>59</v>
      </c>
      <c r="B127" s="92">
        <v>17696.36</v>
      </c>
      <c r="C127" s="92">
        <v>35392.730000000003</v>
      </c>
      <c r="D127" s="92">
        <v>53089.09</v>
      </c>
      <c r="E127" s="92">
        <v>70785.460000000006</v>
      </c>
      <c r="F127" s="92">
        <v>88481.82</v>
      </c>
      <c r="G127" s="92">
        <v>106178.18</v>
      </c>
      <c r="H127" s="92">
        <v>123874.55</v>
      </c>
      <c r="I127" s="92">
        <v>141570.91</v>
      </c>
      <c r="J127" s="92">
        <v>159267.28</v>
      </c>
      <c r="K127" s="92">
        <v>176963.64</v>
      </c>
      <c r="L127" s="92">
        <v>194660</v>
      </c>
      <c r="M127" s="92">
        <v>212356.37</v>
      </c>
    </row>
    <row r="128" spans="1:23" hidden="1" x14ac:dyDescent="0.25">
      <c r="A128" s="7" t="s">
        <v>60</v>
      </c>
      <c r="B128" s="92">
        <v>35392.730000000003</v>
      </c>
      <c r="C128" s="92">
        <f>C127*2</f>
        <v>70785.460000000006</v>
      </c>
      <c r="D128" s="92">
        <v>106178.18</v>
      </c>
      <c r="E128" s="92">
        <v>141570.91</v>
      </c>
      <c r="F128" s="92">
        <f>F127*2</f>
        <v>176963.64</v>
      </c>
      <c r="G128" s="92">
        <v>212356.37</v>
      </c>
      <c r="H128" s="92">
        <v>247749.1</v>
      </c>
      <c r="I128" s="92">
        <v>283141.83</v>
      </c>
      <c r="J128" s="92">
        <v>318534.55</v>
      </c>
      <c r="K128" s="92">
        <v>353927.28</v>
      </c>
      <c r="L128" s="92">
        <v>389320.01</v>
      </c>
      <c r="M128" s="92">
        <f>M127*2</f>
        <v>424712.74</v>
      </c>
      <c r="N128" s="8"/>
    </row>
    <row r="129" spans="1:14" hidden="1" x14ac:dyDescent="0.25">
      <c r="G129" s="4"/>
      <c r="I129" s="4"/>
      <c r="N129" s="8"/>
    </row>
    <row r="130" spans="1:14" x14ac:dyDescent="0.25">
      <c r="A130" s="3" t="s">
        <v>35</v>
      </c>
      <c r="G130" s="4"/>
      <c r="I130" s="4"/>
      <c r="N130" s="8"/>
    </row>
    <row r="131" spans="1:14" x14ac:dyDescent="0.25">
      <c r="A131" s="26" t="s">
        <v>83</v>
      </c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</row>
    <row r="132" spans="1:14" x14ac:dyDescent="0.25">
      <c r="A132" s="26" t="s">
        <v>84</v>
      </c>
      <c r="B132" s="82">
        <v>0</v>
      </c>
      <c r="C132" s="82">
        <v>0</v>
      </c>
      <c r="D132" s="82">
        <v>0</v>
      </c>
      <c r="E132" s="82"/>
      <c r="F132" s="82"/>
      <c r="G132" s="82"/>
      <c r="H132" s="82"/>
      <c r="I132" s="82"/>
      <c r="J132" s="82"/>
      <c r="K132" s="82"/>
      <c r="L132" s="82"/>
      <c r="M132" s="82"/>
    </row>
    <row r="133" spans="1:14" x14ac:dyDescent="0.25">
      <c r="A133" s="30" t="s">
        <v>85</v>
      </c>
      <c r="B133" s="31">
        <f>B132*0.4</f>
        <v>0</v>
      </c>
      <c r="C133" s="31">
        <f t="shared" ref="C133:M133" si="23">C132*0.4</f>
        <v>0</v>
      </c>
      <c r="D133" s="31">
        <f t="shared" si="23"/>
        <v>0</v>
      </c>
      <c r="E133" s="31">
        <f t="shared" si="23"/>
        <v>0</v>
      </c>
      <c r="F133" s="31">
        <f t="shared" si="23"/>
        <v>0</v>
      </c>
      <c r="G133" s="31">
        <f t="shared" si="23"/>
        <v>0</v>
      </c>
      <c r="H133" s="31">
        <f t="shared" si="23"/>
        <v>0</v>
      </c>
      <c r="I133" s="31">
        <f t="shared" si="23"/>
        <v>0</v>
      </c>
      <c r="J133" s="31">
        <f t="shared" si="23"/>
        <v>0</v>
      </c>
      <c r="K133" s="31">
        <f t="shared" si="23"/>
        <v>0</v>
      </c>
      <c r="L133" s="31">
        <f t="shared" si="23"/>
        <v>0</v>
      </c>
      <c r="M133" s="31">
        <f t="shared" si="23"/>
        <v>0</v>
      </c>
    </row>
    <row r="134" spans="1:14" ht="15.75" customHeight="1" x14ac:dyDescent="0.25">
      <c r="A134" s="26" t="s">
        <v>86</v>
      </c>
      <c r="B134" s="82">
        <v>0</v>
      </c>
      <c r="C134" s="82">
        <v>0</v>
      </c>
      <c r="D134" s="82">
        <v>0</v>
      </c>
      <c r="E134" s="82"/>
      <c r="F134" s="82"/>
      <c r="G134" s="82"/>
      <c r="H134" s="82"/>
      <c r="I134" s="82"/>
      <c r="J134" s="82"/>
      <c r="K134" s="82"/>
      <c r="L134" s="82"/>
      <c r="M134" s="82"/>
    </row>
    <row r="135" spans="1:14" ht="15.75" customHeight="1" x14ac:dyDescent="0.25">
      <c r="A135" s="7" t="s">
        <v>87</v>
      </c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48"/>
    </row>
    <row r="136" spans="1:14" ht="15.75" customHeight="1" x14ac:dyDescent="0.25">
      <c r="A136" s="32" t="s">
        <v>88</v>
      </c>
      <c r="B136" s="33">
        <f>$B$83*0.4</f>
        <v>15056.108</v>
      </c>
      <c r="C136" s="33">
        <f>$C$83*0.4</f>
        <v>30112.212</v>
      </c>
      <c r="D136" s="33">
        <f>$D$83*0.4</f>
        <v>45168.320000000007</v>
      </c>
      <c r="E136" s="33">
        <f>$E$83*0.4</f>
        <v>60224.423999999999</v>
      </c>
      <c r="F136" s="33">
        <f>$F$83*0.4</f>
        <v>75280.531999999992</v>
      </c>
      <c r="G136" s="33">
        <f>$G$83*0.4</f>
        <v>90336.640000000014</v>
      </c>
      <c r="H136" s="33">
        <f>$H$83*0.4</f>
        <v>105392.74400000001</v>
      </c>
      <c r="I136" s="33">
        <f>$I$83*0.4</f>
        <v>120448.85200000001</v>
      </c>
      <c r="J136" s="33">
        <f>$J$83*0.4</f>
        <v>135504.96000000002</v>
      </c>
      <c r="K136" s="33">
        <f>$K$83*0.4</f>
        <v>150561.06399999998</v>
      </c>
      <c r="L136" s="33">
        <f>$L$83*0.4</f>
        <v>165617.17200000002</v>
      </c>
      <c r="M136" s="33">
        <f>$M$83*0.4</f>
        <v>180673.27600000001</v>
      </c>
    </row>
    <row r="137" spans="1:14" ht="15.75" customHeight="1" x14ac:dyDescent="0.25">
      <c r="A137" s="7" t="s">
        <v>89</v>
      </c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</row>
    <row r="138" spans="1:14" ht="15.75" customHeight="1" x14ac:dyDescent="0.25">
      <c r="A138" s="7" t="s">
        <v>51</v>
      </c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48"/>
    </row>
    <row r="139" spans="1:14" ht="15.75" customHeight="1" x14ac:dyDescent="0.25">
      <c r="A139" s="7" t="s">
        <v>90</v>
      </c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</row>
    <row r="140" spans="1:14" ht="15.75" customHeight="1" x14ac:dyDescent="0.25">
      <c r="A140" s="7" t="s">
        <v>91</v>
      </c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</row>
    <row r="141" spans="1:14" ht="15.75" hidden="1" customHeight="1" x14ac:dyDescent="0.25">
      <c r="A141" s="7" t="s">
        <v>92</v>
      </c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</row>
    <row r="142" spans="1:14" ht="15.75" hidden="1" customHeight="1" x14ac:dyDescent="0.25">
      <c r="A142" s="32"/>
      <c r="B142" s="33">
        <f>$B$141*0.4</f>
        <v>0</v>
      </c>
      <c r="C142" s="33">
        <f>$C$141*0.4</f>
        <v>0</v>
      </c>
      <c r="D142" s="33">
        <f>$D$141*0.4</f>
        <v>0</v>
      </c>
      <c r="E142" s="33">
        <f>$E$141*0.4</f>
        <v>0</v>
      </c>
      <c r="F142" s="33">
        <f>$F$141*0.4</f>
        <v>0</v>
      </c>
      <c r="G142" s="33">
        <f>$G$141*0.4</f>
        <v>0</v>
      </c>
      <c r="H142" s="33">
        <f>$H$141*0.4</f>
        <v>0</v>
      </c>
      <c r="I142" s="33">
        <f>$I$141*0.4</f>
        <v>0</v>
      </c>
      <c r="J142" s="33">
        <f>$J$141*0.4</f>
        <v>0</v>
      </c>
      <c r="K142" s="33">
        <f>$K$141*0.4</f>
        <v>0</v>
      </c>
      <c r="L142" s="33">
        <f>$L$141*0.4</f>
        <v>0</v>
      </c>
      <c r="M142" s="33">
        <f>$M$141*0.4</f>
        <v>0</v>
      </c>
    </row>
    <row r="143" spans="1:14" ht="15.75" hidden="1" customHeight="1" x14ac:dyDescent="0.25">
      <c r="A143" s="7" t="s">
        <v>93</v>
      </c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48"/>
    </row>
    <row r="144" spans="1:14" ht="15.75" customHeight="1" x14ac:dyDescent="0.25">
      <c r="I144" s="4"/>
      <c r="N144" s="48"/>
    </row>
    <row r="145" spans="1:19" ht="15.75" customHeight="1" x14ac:dyDescent="0.25">
      <c r="B145" s="4"/>
      <c r="I145" s="4"/>
    </row>
    <row r="146" spans="1:19" hidden="1" x14ac:dyDescent="0.25">
      <c r="A146" s="45" t="s">
        <v>94</v>
      </c>
      <c r="B146" s="46">
        <f>$B$78*0.05</f>
        <v>0</v>
      </c>
      <c r="C146" s="46">
        <f>$C$78*0.05</f>
        <v>0</v>
      </c>
      <c r="D146" s="46">
        <f>$D$78*0.05</f>
        <v>0</v>
      </c>
      <c r="E146" s="46">
        <f>$E$78*0.05</f>
        <v>0</v>
      </c>
      <c r="F146" s="46">
        <f>$F$78*0.05</f>
        <v>0</v>
      </c>
      <c r="G146" s="46">
        <f>$G$78*0.05</f>
        <v>0</v>
      </c>
      <c r="H146" s="46">
        <f>$H$78*0.05</f>
        <v>0</v>
      </c>
      <c r="I146" s="46">
        <f>$I$78*0.05</f>
        <v>0</v>
      </c>
      <c r="J146" s="46">
        <f>$J$78*0.05</f>
        <v>0</v>
      </c>
      <c r="K146" s="46">
        <f>$K$78*0.05</f>
        <v>0</v>
      </c>
      <c r="L146" s="46">
        <f>$L$78*0.05</f>
        <v>0</v>
      </c>
      <c r="M146" s="46">
        <f>$M$78*0.05</f>
        <v>0</v>
      </c>
    </row>
    <row r="147" spans="1:19" hidden="1" x14ac:dyDescent="0.25">
      <c r="A147" s="96" t="s">
        <v>137</v>
      </c>
      <c r="B147" s="94">
        <f>IF((B$78-B$81-B$83-$B$84-$B$85-$B$86-$B$87)&gt;0, $B$77-$B$81-$B$83-$B$84-$B$85-$B$86-$B$87,0)</f>
        <v>0</v>
      </c>
      <c r="C147" s="94">
        <f>IF((C$78-$C$81-$C$83-$C$84-$C$85-$C$86-$C$87-$B$89-$B$91)&gt;0,$C$77-$C$81-$B$81-$B$83-$B$84-$B$85-$B$86-$B$87,0)</f>
        <v>0</v>
      </c>
      <c r="D147" s="94">
        <f>IF(($D$78-$D$81-$D$83-$D$84-$D$85-$D$86-$D$87-$C$89-$C$91)&gt;0,$D$77-$D$81-$C$81-$B$83-$B$84-$B$85-$B$86-$B$87,0)</f>
        <v>0</v>
      </c>
      <c r="E147" s="94">
        <f>IF(($E$78-$E$81-$E$83-$E$84-$E$85-$E$86-$E$87-$D$89-$D$91)&gt;0,$E$77-$E$81-$D$81-$B$83-$B$84-$B$85-$B$86-$B$87,0)</f>
        <v>0</v>
      </c>
      <c r="F147" s="94">
        <f>IF(($F$78-$F$81-$F$83-$F$84-$F$85-$F$86-$F$87-$E$89-$E$91)&gt;0,$F$77-$F$81-$E$81-$B$83-$B$84-$B$85-$B$86-$B$87,0)</f>
        <v>0</v>
      </c>
      <c r="G147" s="94">
        <f>IF(($G$78-$G$81-$G$83-$G$84-$G$85-$G$86-$G$87-$F$89-$F$91)&gt;0,$G$77-$G$81-$F$81-$B$83-$B$84-$B$85-$B$86-$B$87,0)</f>
        <v>0</v>
      </c>
      <c r="H147" s="94">
        <f>IF(($H$78-$H$81-$H$83-$H$84-$H$85-$H$86-$H$87-$G$89-$G$91)&gt;0,$H$77-$H$81-$G$81-$B$83-$B$84-$B$85-$B$86-$B$87,0)</f>
        <v>0</v>
      </c>
      <c r="I147" s="94">
        <f>IF(($I$78-$I$81-$I$83-$I$84-$I$85-$I$86-$I$87-$H$89-$H$91)&gt;0,$I$77-$I$81-$H$81-$B$83-$B$84-$B$85-$B$86-$B$87,0)</f>
        <v>0</v>
      </c>
      <c r="J147" s="94">
        <f>IF(($J$78-$J$81-$J$83-$J$84-$J$85-$J$86-$J$87-$I$89-$I$91)&gt;0,$J$77-$J$81-$I$81-$B$83-$B$84-$B$85-$B$86-$B$87,0)</f>
        <v>0</v>
      </c>
      <c r="K147" s="94">
        <f>IF(($K$78-$K$81-$K$83-$K$84-$K$85-$K$86-$K$87-$J$89-$J$91)&gt;0,$K$77-$K$81-$J$81-$B$83-$B$84-$B$85-$B$86-$B$87,0)</f>
        <v>0</v>
      </c>
      <c r="L147" s="94">
        <f>IF(($L$78-$L$81-$L$83-$L$84-$L$85-$L$86-$L$87-$K$89-$K$91)&gt;0,$L$77-$L$81-$K$81-$B$83-$B$84-$B$85-$B$86-$B$87,0)</f>
        <v>0</v>
      </c>
      <c r="M147" s="94">
        <f>IF(($M$78-$M$81-$M$83-$M$84-$M$85-$M$86-$M$87-$L$89-$L$91)&gt;0,$M$77-$M$81-$L$81-$B$83-$B$84-$B$85-$B$86-$B$87,0)</f>
        <v>0</v>
      </c>
    </row>
    <row r="148" spans="1:19" hidden="1" x14ac:dyDescent="0.25">
      <c r="A148" s="93" t="s">
        <v>127</v>
      </c>
      <c r="B148" s="94">
        <f>IF(($B$78-$B$81-$B$83-$B$84-$B$85-$B$86-$B$87)&gt;0, $B$78-$B$81-$B$83-$B$84-$B$85-$B$86-$B$87,0)</f>
        <v>0</v>
      </c>
      <c r="C148" s="94">
        <f>IF(($C$78-$C$81-$C$83-$C$84-$C$85-$C$86-$C$87-$B$89-$B$91)&gt;0, $C$78-$C$81-$C$83-$C$84-$C$85-$C$86-$C$87-$B$89-$B$91,0)</f>
        <v>0</v>
      </c>
      <c r="D148" s="94">
        <f>IF(($D$78-$D$81-$D$83-$D$84-$D$85-$D$86-$D$87-$C$89-$C$91)&gt;0, $D$78-$D$81-$D$83-$D$84-$D$85-$D$86-$D$87-$C$89-$C$91,0)</f>
        <v>0</v>
      </c>
      <c r="E148" s="94">
        <f>IF(($E$78-$E$81-$E$83-$E$84-$E$85-$E$86-$E$87-$D$89-$D$91)&gt;0, $E$78-$E$81-$E$83-$E$84-$E$85-$E$86-$E$87-$D$89-$D$91,0)</f>
        <v>0</v>
      </c>
      <c r="F148" s="94">
        <f>IF(($F$78-$F$81-$F$83-$F$84-$F$85-$F$86-$F$87-$E$89-$E$91)&gt;0, $F$78-$F$81-$F$83-$F$84-$F$85-$F$86-$F$87-$E$89-$E$91,0)</f>
        <v>0</v>
      </c>
      <c r="G148" s="94">
        <f>IF(($G$78-$G$81-$G$83-$G$84-$G$85-$G$86-$G$87-$F$89-$F$91)&gt;0, $G$78-$G$81-$G$83-$G$84-$G$85-$G$86-$G$87-$F$89-$F$91,0)</f>
        <v>0</v>
      </c>
      <c r="H148" s="94">
        <f>IF(($H$78-$H$81-$H$83-$H$84-$H$85-$H$86-$H$87-$G$89-$G$91)&gt;0, $H$78-$H$81-$H$83-$H$84-$H$85-$H$86-$H$87-$G$89-$G$91,0)</f>
        <v>0</v>
      </c>
      <c r="I148" s="94">
        <f>IF(($I$78-$I$81-$I$83-$I$84-$I$85-$I$86-$I$87-$H$89-$H$91)&gt;0, $I$78-$I$81-$I$83-$I$84-$I$85-$I$86-$I$87-$H$89-$H$91,0)</f>
        <v>0</v>
      </c>
      <c r="J148" s="94">
        <f>IF(($J$78-$J$81-$J$83-$J$84-$J$85-$J$86-$J$87-$I$89-$I$91)&gt;0, $J$78-$J$81-$J$83-$J$84-$J$85-$J$86-$J$87-$I$89-$I$91,0)</f>
        <v>0</v>
      </c>
      <c r="K148" s="94">
        <f>IF(($K$78-$K$81-$K$83-$K$84-$K$85-$K$86-$K$87-$J$89-$J$91)&gt;0, $K$78-$K$81-$K$83-$K$84-$K$85-$K$86-$K$87-$J$89-$J$91,0)</f>
        <v>0</v>
      </c>
      <c r="L148" s="94">
        <f>IF(($L$78-$L$81-$L$83-$L$84-$L$85-$L$86-$L$87-$K$89-$K$91)&gt;0, $L$78-$L$81-$L$83-$L$84-$L$85-$L$86-$L$87-$K$89-$K$91,0)</f>
        <v>0</v>
      </c>
      <c r="M148" s="94">
        <f>IF(($M$78-$M$81-$M$83-$M$84-$M$85-$M$86-$M$87-$L$89-$L$91)&gt;0, $M$78-$M$81-$M$83-$M$84-$M$85-$M$86-$M$87-$L$89-$L$91,0)</f>
        <v>0</v>
      </c>
    </row>
    <row r="149" spans="1:19" hidden="1" x14ac:dyDescent="0.25">
      <c r="A149" s="96" t="s">
        <v>138</v>
      </c>
      <c r="B149" s="94">
        <f>MIN($B$147,$B$148)</f>
        <v>0</v>
      </c>
      <c r="C149" s="94">
        <f>MIN($C$147,$C$148)</f>
        <v>0</v>
      </c>
      <c r="D149" s="94">
        <f>MIN($D$147,$D$148)</f>
        <v>0</v>
      </c>
      <c r="E149" s="94">
        <f>MIN($E$147,$E$148)</f>
        <v>0</v>
      </c>
      <c r="F149" s="94">
        <f>MIN($F$147,$F$148)</f>
        <v>0</v>
      </c>
      <c r="G149" s="94">
        <f>MIN($G$147,$G$148)</f>
        <v>0</v>
      </c>
      <c r="H149" s="94">
        <f>MIN($H$147,$H$148)</f>
        <v>0</v>
      </c>
      <c r="I149" s="94">
        <f>MIN($I$147,$I$148)</f>
        <v>0</v>
      </c>
      <c r="J149" s="94">
        <f>MIN($J$147,$J$148)</f>
        <v>0</v>
      </c>
      <c r="K149" s="94">
        <f>MIN($K$147,$K$148)</f>
        <v>0</v>
      </c>
      <c r="L149" s="94">
        <f>MIN($L$147,$L$148)</f>
        <v>0</v>
      </c>
      <c r="M149" s="94">
        <f>MIN($M$147,$M$148)</f>
        <v>0</v>
      </c>
    </row>
    <row r="150" spans="1:19" ht="15" hidden="1" customHeight="1" x14ac:dyDescent="0.25">
      <c r="A150" s="17" t="s">
        <v>125</v>
      </c>
    </row>
    <row r="151" spans="1:19" ht="15" hidden="1" customHeight="1" x14ac:dyDescent="0.25">
      <c r="A151" s="53" t="s">
        <v>113</v>
      </c>
      <c r="B151" s="54">
        <f>IF($B$43&lt;=808124.1,$B$13+$B$35,0)</f>
        <v>0</v>
      </c>
      <c r="C151" s="54">
        <f>IF($C$43&lt;=808124.1,$C$13+$C$35,0)</f>
        <v>0</v>
      </c>
      <c r="D151" s="54">
        <f>IF($D$43&lt;=808124.1,$D$13+$D$35,0)</f>
        <v>0</v>
      </c>
      <c r="E151" s="54">
        <f>IF($E$43&lt;=808124.1,$E$13+$E$35,0)</f>
        <v>0</v>
      </c>
      <c r="F151" s="54">
        <f>IF($F$43&lt;=808124.1,$F$13+$F$35,0)</f>
        <v>0</v>
      </c>
      <c r="G151" s="54">
        <f>IF($G$43&lt;=808124.1,$G$13+$G$35,0)</f>
        <v>0</v>
      </c>
      <c r="H151" s="54">
        <f>IF($H$43&lt;=808124.1,$H$13+$H$35,0)</f>
        <v>0</v>
      </c>
      <c r="I151" s="54">
        <f>IF($I$43&lt;=808124.1,$I$13+$I$35,0)</f>
        <v>0</v>
      </c>
      <c r="J151" s="54">
        <f>IF($J$43&lt;=808124.1,$J$13+$J$35,0)</f>
        <v>0</v>
      </c>
      <c r="K151" s="54">
        <f>IF($K$43&lt;=808124.1,$K$13+$K$35,0)</f>
        <v>0</v>
      </c>
      <c r="L151" s="54">
        <f>IF($L$43&lt;=808124.1,$L$13+$L$35,0)</f>
        <v>0</v>
      </c>
      <c r="M151" s="54">
        <f>IF($M$43&lt;=808124.1,$M$13+$M$35,0)</f>
        <v>0</v>
      </c>
    </row>
    <row r="152" spans="1:19" ht="15" hidden="1" customHeight="1" x14ac:dyDescent="0.25">
      <c r="A152" s="53" t="s">
        <v>114</v>
      </c>
      <c r="B152" s="54">
        <f>IF($B$151&gt;180673.27,180673.27,$B$151)</f>
        <v>0</v>
      </c>
      <c r="C152" s="54">
        <f>IF($B$151+$C$151&gt;180673.27,180673.27-$B$152,$C$151)</f>
        <v>0</v>
      </c>
      <c r="D152" s="54">
        <f>IF($B$151+$C$151+$D$151&gt;180673.27,180673.27-$C$152-$B$152,$D$151)</f>
        <v>0</v>
      </c>
      <c r="E152" s="54">
        <f>IF($B$151+$C$151+$D$151+$E$151&gt;180673.27,180673.27-$D$152-$C$152-$B$152,$E$151)</f>
        <v>0</v>
      </c>
      <c r="F152" s="54">
        <f>IF($B$151+$C$151+$D$151+$E$151+$F$151&gt;180673.27,180673.27-$B$152-$E$152-$D$152-$C$152,$F$151)</f>
        <v>0</v>
      </c>
      <c r="G152" s="54">
        <f>IF($B$151+$C$151+$D$151+$E$151+$F$151+$G$151&gt;180673.27,180673.27-$B$152-$C$152-$F$152-$E$152-$D$152,$G$151)</f>
        <v>0</v>
      </c>
      <c r="H152" s="54">
        <f>IF($B$151+$C$151+$D$151+$E$151+$F$151+$G$151+$H$151&gt;180673.27,180673.27-$B$152-$C$152-$D$152-$G$152-$F$152-$E$152,$H$151)</f>
        <v>0</v>
      </c>
      <c r="I152" s="54">
        <f>IF($B$151+$C$151+$D$151+$E$151+$F$151+$G$151+$H$151+$I$151&gt;180673.27,180673.27-$B$152-$C$152-$D$152-$E$152-$H$152-$G$152-$F$152,$I$151)</f>
        <v>0</v>
      </c>
      <c r="J152" s="54">
        <f>IF($B$151+$C$151+$D$151+$E$151+$F$151+$G$151+$H$151+$I$151+$J$151&gt;180673.27,180673.27-$B$152-$C$152-$D$152-$E$152-$F$152-$I$152-$H$152-$G$152,$J$151)</f>
        <v>0</v>
      </c>
      <c r="K152" s="54">
        <f>IF($B$151+$C$151+$D$151+$E$151+$F$151+$G$151+$H$151+$I$151+$J$151+$K$151&gt;180673.27,180673.27-$B$152-$C$152-$D$152-$E$152-$F$152-$G$152-$J$152-$I$152-$H$152,$K$151)</f>
        <v>0</v>
      </c>
      <c r="L152" s="54">
        <f>IF($B$151+$C$151+$D$151+$E$151+$F$151+$G$151+$H$151+$I$151+$J$151+$K$151+$L$151&gt;180673.27,180673.27-$B$152-$C$152-$D$152-$E$152-$F$152-$G$152-$H$152-$K$152-$J$152-$I$152,$L$151)</f>
        <v>0</v>
      </c>
      <c r="M152" s="54">
        <f>IF($B$151+$C$151+$D$151+$E$151+$F$151+$G$151+$H$151+$I$151+$J$151+$K$151+$L$151+$M$151&gt;180673.27,180673.27-$B$152-$C$152-$D$152-$E$152-$F$152-$G$152-$H$152-$I$152-$L$152-$K$152-$J$152,$M$151)</f>
        <v>0</v>
      </c>
    </row>
    <row r="153" spans="1:19" ht="15" hidden="1" customHeight="1" x14ac:dyDescent="0.25">
      <c r="A153" s="53" t="s">
        <v>115</v>
      </c>
      <c r="B153" s="54">
        <f>+$B$151-$B$152</f>
        <v>0</v>
      </c>
      <c r="C153" s="54">
        <f>+$C$151-$C$152</f>
        <v>0</v>
      </c>
      <c r="D153" s="54">
        <f>+$D$151-$D$152</f>
        <v>0</v>
      </c>
      <c r="E153" s="54">
        <f>+$E$151-$E$152</f>
        <v>0</v>
      </c>
      <c r="F153" s="54">
        <f>+$F$151-$F$152</f>
        <v>0</v>
      </c>
      <c r="G153" s="54">
        <f>+$G$151-$G$152</f>
        <v>0</v>
      </c>
      <c r="H153" s="54">
        <f>+$H$151-$H$152</f>
        <v>0</v>
      </c>
      <c r="I153" s="54">
        <f>+$I$151-$I$152</f>
        <v>0</v>
      </c>
      <c r="J153" s="54">
        <f>+$J$151-$J$152</f>
        <v>0</v>
      </c>
      <c r="K153" s="54">
        <f>+$K$151-$K$152</f>
        <v>0</v>
      </c>
      <c r="L153" s="54">
        <f>+$L$151-$L$152</f>
        <v>0</v>
      </c>
      <c r="M153" s="54">
        <f>+$M$151-$M$152</f>
        <v>0</v>
      </c>
      <c r="N153" s="48"/>
    </row>
    <row r="154" spans="1:19" ht="15" hidden="1" customHeight="1" x14ac:dyDescent="0.25">
      <c r="A154" s="53" t="s">
        <v>116</v>
      </c>
      <c r="B154" s="54">
        <f>IF($B$43&gt;808124.1,($B$13+$B$35),0)</f>
        <v>0</v>
      </c>
      <c r="C154" s="54">
        <f>IF($C$43&gt;808124.1,($C$13+$C$35),0)</f>
        <v>0</v>
      </c>
      <c r="D154" s="54">
        <f>IF($D$43&gt;808124.1,($D$13+$D$35),0)</f>
        <v>0</v>
      </c>
      <c r="E154" s="54">
        <f>IF($E$43&gt;808124.1,($E$13+$E$35),0)</f>
        <v>0</v>
      </c>
      <c r="F154" s="54">
        <f>IF($F$43&gt;808124.1,($F$13+$F$35),0)</f>
        <v>0</v>
      </c>
      <c r="G154" s="54">
        <f>IF($G$43&gt;808124.1,($G$13+$G$35),0)</f>
        <v>0</v>
      </c>
      <c r="H154" s="54">
        <f>IF($H$43&gt;808124.1,($H$13+$H$35),0)</f>
        <v>0</v>
      </c>
      <c r="I154" s="54">
        <f>IF($I$43&gt;808124.1,($I$13+$I$35),0)</f>
        <v>0</v>
      </c>
      <c r="J154" s="54">
        <f>IF($J$43&gt;808124.1,($J$13+$J$35),0)</f>
        <v>0</v>
      </c>
      <c r="K154" s="54">
        <f>IF($K$43&gt;808124.1,($K$13+$K$35),0)</f>
        <v>0</v>
      </c>
      <c r="L154" s="54">
        <f>IF($L$43&gt;808124.1,($L$13+$L$35),0)</f>
        <v>0</v>
      </c>
      <c r="M154" s="54">
        <f>IF($M$43&gt;808124.1,($M$13+$M$35),0)</f>
        <v>0</v>
      </c>
      <c r="N154" s="48"/>
      <c r="O154" s="4"/>
      <c r="P154" s="4"/>
      <c r="Q154" s="4"/>
      <c r="R154" s="4"/>
      <c r="S154" s="4"/>
    </row>
    <row r="155" spans="1:19" ht="15" hidden="1" customHeight="1" x14ac:dyDescent="0.25">
      <c r="A155" s="7" t="s">
        <v>118</v>
      </c>
      <c r="B155" s="4">
        <f>+$B$13</f>
        <v>0</v>
      </c>
      <c r="C155" s="4">
        <f>+$C$13</f>
        <v>0</v>
      </c>
      <c r="D155" s="4">
        <f>+$D$13</f>
        <v>0</v>
      </c>
      <c r="E155" s="4">
        <f>+$E$13</f>
        <v>0</v>
      </c>
      <c r="F155" s="4">
        <f>+$F$13</f>
        <v>0</v>
      </c>
      <c r="G155" s="4">
        <f>+$G$13</f>
        <v>0</v>
      </c>
      <c r="H155" s="4">
        <f>+$H$13</f>
        <v>0</v>
      </c>
      <c r="I155" s="4">
        <f>+$I$13</f>
        <v>0</v>
      </c>
      <c r="J155" s="4">
        <f>+$J$13</f>
        <v>0</v>
      </c>
      <c r="K155" s="4">
        <f>+$K$13</f>
        <v>0</v>
      </c>
      <c r="L155" s="4">
        <f>+$L$13</f>
        <v>0</v>
      </c>
      <c r="M155" s="4">
        <f>+$M$13</f>
        <v>0</v>
      </c>
      <c r="N155" s="48"/>
      <c r="O155" s="4"/>
      <c r="P155" s="4"/>
      <c r="Q155" s="4"/>
      <c r="R155" s="4"/>
      <c r="S155" s="4"/>
    </row>
    <row r="156" spans="1:19" ht="15" hidden="1" customHeight="1" x14ac:dyDescent="0.25">
      <c r="A156" s="7" t="s">
        <v>119</v>
      </c>
      <c r="B156" s="4">
        <f>+$B$35</f>
        <v>0</v>
      </c>
      <c r="C156" s="4">
        <f>+$C$35</f>
        <v>0</v>
      </c>
      <c r="D156" s="4">
        <f>+$D$35</f>
        <v>0</v>
      </c>
      <c r="E156" s="4">
        <f>+$E$35</f>
        <v>0</v>
      </c>
      <c r="F156" s="4">
        <f>+$F$35</f>
        <v>0</v>
      </c>
      <c r="G156" s="4">
        <f>+$G$35</f>
        <v>0</v>
      </c>
      <c r="H156" s="4">
        <f>+$H$35</f>
        <v>0</v>
      </c>
      <c r="I156" s="4">
        <f>+$I$35</f>
        <v>0</v>
      </c>
      <c r="J156" s="4">
        <f>+$J$35</f>
        <v>0</v>
      </c>
      <c r="K156" s="4">
        <f>+$K$35</f>
        <v>0</v>
      </c>
      <c r="L156" s="4">
        <f>+$L$35</f>
        <v>0</v>
      </c>
      <c r="M156" s="4">
        <f>+$M$35</f>
        <v>0</v>
      </c>
      <c r="N156" s="48"/>
      <c r="O156" s="4"/>
      <c r="P156" s="4"/>
      <c r="Q156" s="4"/>
      <c r="R156" s="4"/>
      <c r="S156" s="4"/>
    </row>
    <row r="157" spans="1:19" ht="15" hidden="1" customHeight="1" x14ac:dyDescent="0.25">
      <c r="A157" s="53" t="s">
        <v>120</v>
      </c>
      <c r="B157" s="11">
        <f>SUM($B$155:$B$156)</f>
        <v>0</v>
      </c>
      <c r="C157" s="11">
        <f>SUM($C$155:$C$156)</f>
        <v>0</v>
      </c>
      <c r="D157" s="11">
        <f>SUM($D$155:$D$156)</f>
        <v>0</v>
      </c>
      <c r="E157" s="11">
        <f>SUM($E$155:$E$156)</f>
        <v>0</v>
      </c>
      <c r="F157" s="11">
        <f>SUM($F$155:$F$156)</f>
        <v>0</v>
      </c>
      <c r="G157" s="11">
        <f>SUM($G$155:$G$156)</f>
        <v>0</v>
      </c>
      <c r="H157" s="11">
        <f>SUM($H$155:$H$156)</f>
        <v>0</v>
      </c>
      <c r="I157" s="11">
        <f>SUM($I$155:$I$156)</f>
        <v>0</v>
      </c>
      <c r="J157" s="11">
        <f>SUM($J$155:$J$156)</f>
        <v>0</v>
      </c>
      <c r="K157" s="11">
        <f>SUM($K$155:$K$156)</f>
        <v>0</v>
      </c>
      <c r="L157" s="11">
        <f>SUM($L$155:$L$156)</f>
        <v>0</v>
      </c>
      <c r="M157" s="11">
        <f>SUM($M$155:$M$156)</f>
        <v>0</v>
      </c>
      <c r="N157" s="48"/>
      <c r="O157" s="4"/>
      <c r="P157" s="4"/>
      <c r="Q157" s="4"/>
      <c r="R157" s="4"/>
      <c r="S157" s="4"/>
    </row>
    <row r="158" spans="1:19" ht="15" hidden="1" customHeight="1" x14ac:dyDescent="0.25">
      <c r="A158" s="7" t="s">
        <v>121</v>
      </c>
      <c r="B158" s="55">
        <f>IF($B$155&gt;0, $B$155/$B$157,0)</f>
        <v>0</v>
      </c>
      <c r="C158" s="55">
        <f>IF($C$155&gt;0, $C$155/$C$157,0)</f>
        <v>0</v>
      </c>
      <c r="D158" s="55">
        <f>IF($D$155&gt;0, $D$155/$D$157,0)</f>
        <v>0</v>
      </c>
      <c r="E158" s="55">
        <f>IF($E$155&gt;0, $E$155/$E$157,0)</f>
        <v>0</v>
      </c>
      <c r="F158" s="55">
        <f>IF($F$155&gt;0, $F$155/$F$157,0)</f>
        <v>0</v>
      </c>
      <c r="G158" s="55">
        <f>IF($G$155&gt;0, $G$155/$G$157,0)</f>
        <v>0</v>
      </c>
      <c r="H158" s="55">
        <f>IF($H$155&gt;0, $H$155/$H$157,0)</f>
        <v>0</v>
      </c>
      <c r="I158" s="55">
        <f>IF($I$155&gt;0, $I$155/$I$157,0)</f>
        <v>0</v>
      </c>
      <c r="J158" s="55">
        <f>IF($J$155&gt;0, $J$155/$J$157,0)</f>
        <v>0</v>
      </c>
      <c r="K158" s="55">
        <f>IF($K$155&gt;0, $K$155/$K$157,0)</f>
        <v>0</v>
      </c>
      <c r="L158" s="55">
        <f>IF($L$155&gt;0, $L$155/$L$157,0)</f>
        <v>0</v>
      </c>
      <c r="M158" s="55">
        <f>IF($M$155&gt;0, $M$155/$M$157,0)</f>
        <v>0</v>
      </c>
      <c r="N158" s="48"/>
      <c r="O158" s="4"/>
      <c r="P158" s="4"/>
      <c r="Q158" s="4"/>
      <c r="R158" s="4"/>
      <c r="S158" s="4"/>
    </row>
    <row r="159" spans="1:19" ht="15" hidden="1" customHeight="1" x14ac:dyDescent="0.25">
      <c r="A159" s="7" t="s">
        <v>122</v>
      </c>
      <c r="B159" s="55">
        <f>IF($B$156&gt;0,+$B$156/$B$157,0)</f>
        <v>0</v>
      </c>
      <c r="C159" s="55">
        <f>IF($C$156&gt;0,+$C$156/$C$157,0)</f>
        <v>0</v>
      </c>
      <c r="D159" s="55">
        <f>IF($D$156&gt;0,+$D$156/$D$157,0)</f>
        <v>0</v>
      </c>
      <c r="E159" s="55">
        <f>IF($E$156&gt;0,+$E$156/$E$157,0)</f>
        <v>0</v>
      </c>
      <c r="F159" s="55">
        <f>IF($F$156&gt;0,+$F$156/$F$157,0)</f>
        <v>0</v>
      </c>
      <c r="G159" s="55">
        <f>IF($G$156&gt;0,+$G$156/$G$157,0)</f>
        <v>0</v>
      </c>
      <c r="H159" s="55">
        <f>IF($H$156&gt;0,+$H$156/$H$157,0)</f>
        <v>0</v>
      </c>
      <c r="I159" s="55">
        <f>IF($I$156&gt;0,+$I$156/$I$157,0)</f>
        <v>0</v>
      </c>
      <c r="J159" s="55">
        <f>IF($J$156&gt;0,+$J$156/$J$157,0)</f>
        <v>0</v>
      </c>
      <c r="K159" s="55">
        <f>IF($K$156&gt;0,+$K$156/$K$157,0)</f>
        <v>0</v>
      </c>
      <c r="L159" s="55">
        <f>IF($L$156&gt;0,+$L$156/$L$157,0)</f>
        <v>0</v>
      </c>
      <c r="M159" s="55">
        <f>IF($M$156&gt;0,+$M$156/$M$157,0)</f>
        <v>0</v>
      </c>
      <c r="N159" s="48"/>
      <c r="O159" s="4"/>
      <c r="P159" s="4"/>
      <c r="Q159" s="4"/>
      <c r="R159" s="4"/>
      <c r="S159" s="4"/>
    </row>
    <row r="160" spans="1:19" ht="15" hidden="1" customHeight="1" x14ac:dyDescent="0.25">
      <c r="A160" s="53" t="s">
        <v>117</v>
      </c>
      <c r="B160" s="56">
        <f>+$B$153+$B$154</f>
        <v>0</v>
      </c>
      <c r="C160" s="56">
        <f>+$C$153+$C$154</f>
        <v>0</v>
      </c>
      <c r="D160" s="56">
        <f>+$D$153+$D$154</f>
        <v>0</v>
      </c>
      <c r="E160" s="56">
        <f>+$E$153+$E$154</f>
        <v>0</v>
      </c>
      <c r="F160" s="56">
        <f>+$F$153+$F$154</f>
        <v>0</v>
      </c>
      <c r="G160" s="56">
        <f>+$G$153+$G$154</f>
        <v>0</v>
      </c>
      <c r="H160" s="56">
        <f>+$H$153+$H$154</f>
        <v>0</v>
      </c>
      <c r="I160" s="56">
        <f>+$I$153+$I$154</f>
        <v>0</v>
      </c>
      <c r="J160" s="56">
        <f>+$J$153+$J$154</f>
        <v>0</v>
      </c>
      <c r="K160" s="56">
        <f>+$K$153+$K$154</f>
        <v>0</v>
      </c>
      <c r="L160" s="56">
        <f>+$L$153+$L$154</f>
        <v>0</v>
      </c>
      <c r="M160" s="56">
        <f>+$M$153+$M$154</f>
        <v>0</v>
      </c>
      <c r="N160" s="48"/>
      <c r="O160" s="4"/>
      <c r="P160" s="4"/>
      <c r="Q160" s="4"/>
      <c r="R160" s="4"/>
      <c r="S160" s="4"/>
    </row>
    <row r="161" spans="1:23" ht="15" hidden="1" customHeight="1" x14ac:dyDescent="0.25">
      <c r="A161" s="7" t="s">
        <v>123</v>
      </c>
      <c r="B161" s="55">
        <f>+$B$160*$B$158</f>
        <v>0</v>
      </c>
      <c r="C161" s="55">
        <f>+$C$160*$C$158</f>
        <v>0</v>
      </c>
      <c r="D161" s="55">
        <f>+$D$160*$D$158</f>
        <v>0</v>
      </c>
      <c r="E161" s="55">
        <f>+$E$160*$E$158</f>
        <v>0</v>
      </c>
      <c r="F161" s="55">
        <f>+$F$160*$F$158</f>
        <v>0</v>
      </c>
      <c r="G161" s="55">
        <f>+$G$160*$G$158</f>
        <v>0</v>
      </c>
      <c r="H161" s="55">
        <f>+$H$160*$H$158</f>
        <v>0</v>
      </c>
      <c r="I161" s="55">
        <f>+$I$160*$I$158</f>
        <v>0</v>
      </c>
      <c r="J161" s="55">
        <f>+$J$160*$J$158</f>
        <v>0</v>
      </c>
      <c r="K161" s="55">
        <f>+$K$160*$K$158</f>
        <v>0</v>
      </c>
      <c r="L161" s="55">
        <f>+$L$160*$L$158</f>
        <v>0</v>
      </c>
      <c r="M161" s="55">
        <f>+$M$160*$M$158</f>
        <v>0</v>
      </c>
      <c r="N161" s="48"/>
      <c r="O161" s="6"/>
      <c r="P161" s="11"/>
      <c r="Q161" s="4"/>
      <c r="R161" s="4"/>
      <c r="S161" s="4"/>
    </row>
    <row r="162" spans="1:23" ht="15" hidden="1" customHeight="1" x14ac:dyDescent="0.25">
      <c r="A162" s="7" t="s">
        <v>124</v>
      </c>
      <c r="B162" s="55">
        <f>+$B$160*$B$159</f>
        <v>0</v>
      </c>
      <c r="C162" s="55">
        <f>+$C$160*$C$159</f>
        <v>0</v>
      </c>
      <c r="D162" s="55">
        <f>+$D$160*$D$159</f>
        <v>0</v>
      </c>
      <c r="E162" s="55">
        <f>+$E$160*$E$159</f>
        <v>0</v>
      </c>
      <c r="F162" s="55">
        <f>+$F$160*$F$159</f>
        <v>0</v>
      </c>
      <c r="G162" s="55">
        <f>+$G$160*$G$159</f>
        <v>0</v>
      </c>
      <c r="H162" s="55">
        <f>+$H$160*$H$159</f>
        <v>0</v>
      </c>
      <c r="I162" s="55">
        <f>+$I$160*$I$159</f>
        <v>0</v>
      </c>
      <c r="J162" s="55">
        <f>+$J$160*$J$159</f>
        <v>0</v>
      </c>
      <c r="K162" s="55">
        <f>+$K$160*$K$159</f>
        <v>0</v>
      </c>
      <c r="L162" s="55">
        <f>+$L$160*$L$159</f>
        <v>0</v>
      </c>
      <c r="M162" s="55">
        <f>+$M$160*$M$159</f>
        <v>0</v>
      </c>
      <c r="N162" s="48"/>
      <c r="O162" s="6"/>
      <c r="P162" s="11"/>
      <c r="Q162" s="4"/>
      <c r="R162" s="4"/>
      <c r="S162" s="4"/>
    </row>
    <row r="163" spans="1:23" hidden="1" x14ac:dyDescent="0.25">
      <c r="N163" s="48"/>
      <c r="O163" s="6"/>
      <c r="P163" s="11"/>
      <c r="Q163" s="4"/>
      <c r="R163" s="4"/>
      <c r="S163" s="4"/>
    </row>
    <row r="164" spans="1:23" hidden="1" x14ac:dyDescent="0.25">
      <c r="A164" s="3" t="s">
        <v>129</v>
      </c>
      <c r="B164" s="6" t="s">
        <v>133</v>
      </c>
      <c r="N164" s="48"/>
      <c r="O164" s="6"/>
      <c r="P164" s="11"/>
      <c r="Q164" s="4"/>
      <c r="R164" s="4"/>
      <c r="S164" s="4"/>
    </row>
    <row r="165" spans="1:23" hidden="1" x14ac:dyDescent="0.25">
      <c r="A165" s="7" t="s">
        <v>130</v>
      </c>
      <c r="B165" s="88">
        <v>11</v>
      </c>
      <c r="C165" s="87">
        <f>+B165/100</f>
        <v>0.11</v>
      </c>
      <c r="O165" s="4"/>
      <c r="P165" s="4"/>
      <c r="Q165" s="4"/>
      <c r="R165" s="4"/>
      <c r="S165" s="4"/>
    </row>
    <row r="166" spans="1:23" hidden="1" x14ac:dyDescent="0.25">
      <c r="A166" s="7" t="s">
        <v>131</v>
      </c>
      <c r="B166" s="88">
        <v>3</v>
      </c>
      <c r="C166" s="87">
        <f>+B166/100</f>
        <v>0.03</v>
      </c>
    </row>
    <row r="167" spans="1:23" hidden="1" x14ac:dyDescent="0.25">
      <c r="A167" s="7" t="s">
        <v>132</v>
      </c>
      <c r="B167" s="88">
        <v>3</v>
      </c>
      <c r="C167" s="87">
        <f>+B167/100</f>
        <v>0.03</v>
      </c>
    </row>
    <row r="168" spans="1:23" hidden="1" x14ac:dyDescent="0.25">
      <c r="C168">
        <f>1-C165-C166-C167</f>
        <v>0.83</v>
      </c>
    </row>
    <row r="169" spans="1:23" s="90" customFormat="1" hidden="1" x14ac:dyDescent="0.25">
      <c r="A169" s="89"/>
      <c r="N169"/>
      <c r="O169"/>
      <c r="P169"/>
      <c r="Q169"/>
      <c r="R169"/>
      <c r="S169"/>
      <c r="T169"/>
      <c r="U169"/>
      <c r="V169"/>
      <c r="W169"/>
    </row>
    <row r="171" spans="1:23" x14ac:dyDescent="0.25">
      <c r="N171" s="90"/>
      <c r="W171" s="90"/>
    </row>
    <row r="172" spans="1:23" x14ac:dyDescent="0.25">
      <c r="O172" s="90"/>
      <c r="P172" s="90"/>
      <c r="Q172" s="90"/>
      <c r="R172" s="90"/>
      <c r="S172" s="90"/>
      <c r="T172" s="90"/>
      <c r="U172" s="90"/>
      <c r="V172" s="90"/>
    </row>
  </sheetData>
  <sheetProtection algorithmName="SHA-512" hashValue="D4PIYqgQ4TDpAWu14xHiHnl8x+/fCXLLDFQ0p6fIZVrGzrQkjro5OjJlPm4bf+y5SGw5yObcQPuI4nvXNOV99w==" saltValue="T4E1sdXY/Ndsd84XKRRCFg==" spinCount="100000" sheet="1" objects="1" scenarios="1"/>
  <dataConsolidate>
    <dataRefs count="1">
      <dataRef ref="B66" sheet="Planilla de Liquidación"/>
    </dataRefs>
  </dataConsolidate>
  <mergeCells count="12">
    <mergeCell ref="O72:O80"/>
    <mergeCell ref="K4:M4"/>
    <mergeCell ref="O23:Q23"/>
    <mergeCell ref="R23:T23"/>
    <mergeCell ref="O25:O26"/>
    <mergeCell ref="P25:Q25"/>
    <mergeCell ref="R25:T25"/>
    <mergeCell ref="O27:O35"/>
    <mergeCell ref="O36:O44"/>
    <mergeCell ref="O45:O53"/>
    <mergeCell ref="O54:O62"/>
    <mergeCell ref="O63:O71"/>
  </mergeCells>
  <phoneticPr fontId="5" type="noConversion"/>
  <dataValidations count="5">
    <dataValidation type="list" allowBlank="1" showInputMessage="1" showErrorMessage="1" sqref="B109">
      <formula1>"0,1"</formula1>
    </dataValidation>
    <dataValidation type="whole" allowBlank="1" showInputMessage="1" showErrorMessage="1" sqref="B165">
      <formula1>0</formula1>
      <formula2>22</formula2>
    </dataValidation>
    <dataValidation type="whole" allowBlank="1" showInputMessage="1" showErrorMessage="1" sqref="B166:B167">
      <formula1>0</formula1>
      <formula2>6</formula2>
    </dataValidation>
    <dataValidation type="whole" allowBlank="1" showInputMessage="1" showErrorMessage="1" sqref="C109 C111:C116 C118:C120">
      <formula1>1</formula1>
      <formula2>12</formula2>
    </dataValidation>
    <dataValidation type="list" allowBlank="1" showInputMessage="1" showErrorMessage="1" sqref="B111:B116 B118:B120">
      <formula1>$B$121:$B$123</formula1>
    </dataValidation>
  </dataValidations>
  <pageMargins left="0.70866141732283472" right="0.70866141732283472" top="0.74803149606299213" bottom="0.74803149606299213" header="0.31496062992125984" footer="0.31496062992125984"/>
  <pageSetup paperSize="5" scale="48" fitToHeight="2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showGridLines="0" zoomScale="70" zoomScaleNormal="70" workbookViewId="0">
      <selection activeCell="P23" sqref="P23"/>
    </sheetView>
  </sheetViews>
  <sheetFormatPr baseColWidth="10" defaultColWidth="13.42578125" defaultRowHeight="15" x14ac:dyDescent="0.25"/>
  <cols>
    <col min="1" max="1" width="13.42578125" style="1"/>
    <col min="2" max="2" width="15" style="1" customWidth="1"/>
    <col min="3" max="3" width="14.5703125" style="1" bestFit="1" customWidth="1"/>
    <col min="4" max="5" width="13.42578125" style="1"/>
    <col min="6" max="6" width="16.85546875" style="1" customWidth="1"/>
    <col min="7" max="8" width="13.42578125" style="1"/>
    <col min="9" max="9" width="15" style="1" customWidth="1"/>
    <col min="10" max="10" width="15.28515625" style="1" customWidth="1"/>
    <col min="11" max="12" width="13.42578125" style="1"/>
    <col min="13" max="13" width="15.85546875" style="1" customWidth="1"/>
    <col min="14" max="16384" width="13.42578125" style="1"/>
  </cols>
  <sheetData>
    <row r="1" spans="1:15" ht="15.75" thickBot="1" x14ac:dyDescent="0.3">
      <c r="A1" s="184" t="s">
        <v>186</v>
      </c>
      <c r="B1" s="185"/>
      <c r="C1" s="186"/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</row>
    <row r="2" spans="1:15" ht="15.75" thickBot="1" x14ac:dyDescent="0.3">
      <c r="A2" s="190" t="s">
        <v>95</v>
      </c>
      <c r="B2" s="191"/>
      <c r="C2" s="192"/>
      <c r="D2" s="85">
        <f>'Planilla de Liquidación'!B97</f>
        <v>0</v>
      </c>
      <c r="E2" s="85">
        <f>'Planilla de Liquidación'!C97</f>
        <v>0</v>
      </c>
      <c r="F2" s="85">
        <f>'Planilla de Liquidación'!D97</f>
        <v>0</v>
      </c>
      <c r="G2" s="85">
        <f>'Planilla de Liquidación'!E97</f>
        <v>0</v>
      </c>
      <c r="H2" s="85">
        <f>'Planilla de Liquidación'!F97</f>
        <v>0</v>
      </c>
      <c r="I2" s="85">
        <f>'Planilla de Liquidación'!G97</f>
        <v>0</v>
      </c>
      <c r="J2" s="85">
        <f>'Planilla de Liquidación'!H97</f>
        <v>0</v>
      </c>
      <c r="K2" s="85">
        <f>'Planilla de Liquidación'!I97</f>
        <v>0</v>
      </c>
      <c r="L2" s="85">
        <f>'Planilla de Liquidación'!J97</f>
        <v>0</v>
      </c>
      <c r="M2" s="85">
        <f>'Planilla de Liquidación'!K97</f>
        <v>0</v>
      </c>
      <c r="N2" s="85">
        <f>'Planilla de Liquidación'!L97</f>
        <v>0</v>
      </c>
      <c r="O2" s="85">
        <f>'Planilla de Liquidación'!M97</f>
        <v>0</v>
      </c>
    </row>
    <row r="3" spans="1:15" ht="15.75" thickBot="1" x14ac:dyDescent="0.3">
      <c r="A3" s="198" t="s">
        <v>96</v>
      </c>
      <c r="B3" s="199"/>
      <c r="C3" s="200"/>
      <c r="D3" s="85">
        <f>D2-(('Planilla de Liquidación'!B9+'Planilla de Liquidación'!B33)-(('Planilla de Liquidación'!B9+'Planilla de Liquidación'!B33)*0.17))</f>
        <v>0</v>
      </c>
      <c r="E3" s="85">
        <f>E2-(('Planilla de Liquidación'!C9+'Planilla de Liquidación'!C33)-(('Planilla de Liquidación'!C9+'Planilla de Liquidación'!C33)*0.17))</f>
        <v>0</v>
      </c>
      <c r="F3" s="85">
        <f>F2-(('Planilla de Liquidación'!D9+'Planilla de Liquidación'!D33)-(('Planilla de Liquidación'!D9+'Planilla de Liquidación'!D33)*0.17))</f>
        <v>0</v>
      </c>
      <c r="G3" s="85">
        <f>G2-(('Planilla de Liquidación'!E9+'Planilla de Liquidación'!E33)-(('Planilla de Liquidación'!E9+'Planilla de Liquidación'!E33)*0.17))</f>
        <v>0</v>
      </c>
      <c r="H3" s="85">
        <f>H2-(('Planilla de Liquidación'!F9+'Planilla de Liquidación'!F33)-(('Planilla de Liquidación'!F9+'Planilla de Liquidación'!F33)*0.17))</f>
        <v>0</v>
      </c>
      <c r="I3" s="85">
        <f>I2-(('Planilla de Liquidación'!G9+'Planilla de Liquidación'!G33)-(('Planilla de Liquidación'!G9+'Planilla de Liquidación'!G33)*0.17))</f>
        <v>0</v>
      </c>
      <c r="J3" s="85">
        <f>J2-(('Planilla de Liquidación'!H9+'Planilla de Liquidación'!H33)-(('Planilla de Liquidación'!H9+'Planilla de Liquidación'!H33)*0.17))</f>
        <v>0</v>
      </c>
      <c r="K3" s="85">
        <f>K2-(('Planilla de Liquidación'!I9+'Planilla de Liquidación'!I33)-(('Planilla de Liquidación'!I9+'Planilla de Liquidación'!I33)*0.17))</f>
        <v>0</v>
      </c>
      <c r="L3" s="85">
        <f>L2-(('Planilla de Liquidación'!J9+'Planilla de Liquidación'!J33)-(('Planilla de Liquidación'!J9+'Planilla de Liquidación'!J33)*0.17))</f>
        <v>0</v>
      </c>
      <c r="M3" s="85">
        <f>M2-(('Planilla de Liquidación'!K9+'Planilla de Liquidación'!K33)-(('Planilla de Liquidación'!K9+'Planilla de Liquidación'!K33)*0.17))</f>
        <v>0</v>
      </c>
      <c r="N3" s="85">
        <f>N2-(('Planilla de Liquidación'!L9+'Planilla de Liquidación'!L33)-(('Planilla de Liquidación'!L9+'Planilla de Liquidación'!L33)*0.17))</f>
        <v>0</v>
      </c>
      <c r="O3" s="85">
        <f>O2-(('Planilla de Liquidación'!M9+'Planilla de Liquidación'!M33)-(('Planilla de Liquidación'!M9+'Planilla de Liquidación'!M33)*0.17))</f>
        <v>0</v>
      </c>
    </row>
    <row r="4" spans="1:15" ht="15.75" thickBot="1" x14ac:dyDescent="0.3">
      <c r="A4" s="193" t="s">
        <v>97</v>
      </c>
      <c r="B4" s="194"/>
      <c r="C4" s="195"/>
      <c r="D4" s="86">
        <f>IFERROR(LOOKUP(D3,$B$18:$C$26,$D$18:$D$26)+((LOOKUP(D3,$B$18:$C$26,$E$18:$E$26)*(D2-LOOKUP(D3,$B$18:$C$26,$F$18:$F$26)))),0)</f>
        <v>0</v>
      </c>
      <c r="E4" s="86">
        <f>IFERROR(LOOKUP(E3,$B$27:$C$35,$D$27:$D$35)+((LOOKUP(E3,$B$27:$C$35,$E$27:$E$35)*(E2-LOOKUP(E3,$B$27:$C$35,$F$27:$F$35)))),0)</f>
        <v>0</v>
      </c>
      <c r="F4" s="86">
        <f>IFERROR(LOOKUP(F3,$B$36:$C$44,$D$36:$D$44)+((LOOKUP(F3,$B$36:$C$44,$E$36:$E$44)*(F2-LOOKUP(F3,$B$36:$C$44,$F$36:$F$44)))),0)</f>
        <v>0</v>
      </c>
      <c r="G4" s="86">
        <f>IFERROR(LOOKUP(G3,$B$45:$C$53,$D$45:$D$53)+((LOOKUP(G3,$B$45:$C$53,$E$45:$E$53)*(G2-LOOKUP(G3,$B$45:$C$53,$F$45:$F$53)))),0)</f>
        <v>0</v>
      </c>
      <c r="H4" s="86">
        <f>IFERROR(LOOKUP(H3,$B$54:$C$62,$D$54:$D$62)+((LOOKUP(H3,$B$54:$C$62,$E$54:$E$62)*(H2-LOOKUP(H3,$B$54:$C$62,$F$54:$F$62)))),0)</f>
        <v>0</v>
      </c>
      <c r="I4" s="86">
        <f>IFERROR(LOOKUP(I3,$B$63:$C$71,$D$63:$D$71)+((LOOKUP(I3,$B$63:$C$71,$E$63:$E$71)*(I2-LOOKUP(I3,$B$63:$C$71,$F$63:$F$71)))),0)</f>
        <v>0</v>
      </c>
      <c r="J4" s="86">
        <f>IFERROR(LOOKUP(J3,$B$72:$C$80,$D$72:$D$80)+((LOOKUP(J3,$B$72:$C$80,$E$72:$E$80)*(J2-LOOKUP(J3,$B$72:$C$80,$F$72:$F$80)))),0)</f>
        <v>0</v>
      </c>
      <c r="K4" s="86">
        <f>IFERROR(LOOKUP(K3,$I$81:$J$89,$K$81:$K$89)+((LOOKUP(K3,$I$81:$J$89,$L$81:$L$89)*(K2-LOOKUP(K3,$I$81:$J$89,$M$81:$M$89)))),0)</f>
        <v>0</v>
      </c>
      <c r="L4" s="86">
        <f>IFERROR(LOOKUP(L3,$I$90:$J$98,$K$90:$K$98)+((LOOKUP(L3,$I$90:$J$98,$L$90:$L$98)*(L2-LOOKUP(L3,$I$90:$J$98,$M$90:$M$98)))),0)</f>
        <v>0</v>
      </c>
      <c r="M4" s="86">
        <f>IFERROR(LOOKUP(M3,$I$99:$J$107,$K$99:$K$107)+((LOOKUP(M3,$I$99:$J$107,$L$99:$L$107)*(M2-LOOKUP(M3,$I$99:$J$107,$M$99:$M$107)))),0)</f>
        <v>0</v>
      </c>
      <c r="N4" s="86">
        <f>IFERROR(LOOKUP(N3,$I$108:$J$116,$K$108:$K$116)+((LOOKUP(N3,$I$108:$J$116,$L$108:$L$116)*(N2-LOOKUP(N3,$I$108:$J$116,$M$108:$M$116)))),0)</f>
        <v>0</v>
      </c>
      <c r="O4" s="86">
        <f>IFERROR(LOOKUP(O3,$I$117:$J$125,$K$117:$K$125)+((LOOKUP(O3,$I$117:$J$125,$L$117:$L$125)*(O2-LOOKUP(O3,$I$117:$J$125,$M$117:$M$125)))),0)</f>
        <v>0</v>
      </c>
    </row>
    <row r="5" spans="1:15" ht="15.75" thickBot="1" x14ac:dyDescent="0.3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1:15" ht="15.75" thickBot="1" x14ac:dyDescent="0.3">
      <c r="A6" s="184" t="s">
        <v>187</v>
      </c>
      <c r="B6" s="185"/>
      <c r="C6" s="186"/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O6" s="2" t="s">
        <v>12</v>
      </c>
    </row>
    <row r="7" spans="1:15" ht="15.75" thickBot="1" x14ac:dyDescent="0.3">
      <c r="A7" s="190" t="s">
        <v>95</v>
      </c>
      <c r="B7" s="191"/>
      <c r="C7" s="192"/>
      <c r="D7" s="85">
        <f>'Planilla de Liquidación'!B97</f>
        <v>0</v>
      </c>
      <c r="E7" s="85">
        <f>'Planilla de Liquidación'!C97</f>
        <v>0</v>
      </c>
      <c r="F7" s="85">
        <f>'Planilla de Liquidación'!D97</f>
        <v>0</v>
      </c>
      <c r="G7" s="85">
        <f>'Planilla de Liquidación'!E97</f>
        <v>0</v>
      </c>
      <c r="H7" s="85">
        <f>'Planilla de Liquidación'!F97</f>
        <v>0</v>
      </c>
      <c r="I7" s="85">
        <f>'Planilla de Liquidación'!G97</f>
        <v>0</v>
      </c>
      <c r="J7" s="85">
        <f>'Planilla de Liquidación'!H97</f>
        <v>0</v>
      </c>
      <c r="K7" s="85">
        <f>'Planilla de Liquidación'!I97</f>
        <v>0</v>
      </c>
      <c r="L7" s="85">
        <f>'Planilla de Liquidación'!J97</f>
        <v>0</v>
      </c>
      <c r="M7" s="85">
        <f>'Planilla de Liquidación'!K97</f>
        <v>0</v>
      </c>
      <c r="N7" s="85">
        <f>'Planilla de Liquidación'!L97</f>
        <v>0</v>
      </c>
      <c r="O7" s="85">
        <f>'Planilla de Liquidación'!M97</f>
        <v>0</v>
      </c>
    </row>
    <row r="8" spans="1:15" ht="15.75" thickBot="1" x14ac:dyDescent="0.3">
      <c r="A8" s="198" t="s">
        <v>96</v>
      </c>
      <c r="B8" s="199"/>
      <c r="C8" s="200"/>
      <c r="D8" s="85">
        <f>D7-(('Planilla de Liquidación'!B9+'Planilla de Liquidación'!B33)-(('Planilla de Liquidación'!B9+'Planilla de Liquidación'!B33)*0.17))</f>
        <v>0</v>
      </c>
      <c r="E8" s="85">
        <f>E7-(('Planilla de Liquidación'!C9+'Planilla de Liquidación'!C33)-(('Planilla de Liquidación'!C9+'Planilla de Liquidación'!C33)*0.17))</f>
        <v>0</v>
      </c>
      <c r="F8" s="85">
        <f>F7-(('Planilla de Liquidación'!D9+'Planilla de Liquidación'!D33)-(('Planilla de Liquidación'!D9+'Planilla de Liquidación'!D33)*0.17))</f>
        <v>0</v>
      </c>
      <c r="G8" s="85">
        <f>G7-(('Planilla de Liquidación'!E9+'Planilla de Liquidación'!E33)-(('Planilla de Liquidación'!E9+'Planilla de Liquidación'!E33)*0.17))</f>
        <v>0</v>
      </c>
      <c r="H8" s="85">
        <f>H7-(('Planilla de Liquidación'!F9+'Planilla de Liquidación'!F33)-(('Planilla de Liquidación'!F9+'Planilla de Liquidación'!F33)*0.17))</f>
        <v>0</v>
      </c>
      <c r="I8" s="85">
        <f>I7-(('Planilla de Liquidación'!G9+'Planilla de Liquidación'!G33)-(('Planilla de Liquidación'!G9+'Planilla de Liquidación'!G33)*0.17))</f>
        <v>0</v>
      </c>
      <c r="J8" s="85">
        <f>J7-(('Planilla de Liquidación'!H9+'Planilla de Liquidación'!H33)-(('Planilla de Liquidación'!H9+'Planilla de Liquidación'!H33)*0.17))</f>
        <v>0</v>
      </c>
      <c r="K8" s="85">
        <f>K7-(('Planilla de Liquidación'!I9+'Planilla de Liquidación'!I33)-(('Planilla de Liquidación'!I9+'Planilla de Liquidación'!I33)*0.17))</f>
        <v>0</v>
      </c>
      <c r="L8" s="85">
        <f>L7-(('Planilla de Liquidación'!J9+'Planilla de Liquidación'!J33)-(('Planilla de Liquidación'!J9+'Planilla de Liquidación'!J33)*0.17))</f>
        <v>0</v>
      </c>
      <c r="M8" s="85">
        <f>M7-(('Planilla de Liquidación'!K9+'Planilla de Liquidación'!K33)-(('Planilla de Liquidación'!K9+'Planilla de Liquidación'!K33)*0.17))</f>
        <v>0</v>
      </c>
      <c r="N8" s="85">
        <f>N7-(('Planilla de Liquidación'!L9+'Planilla de Liquidación'!L33)-(('Planilla de Liquidación'!L9+'Planilla de Liquidación'!L33)*0.17))</f>
        <v>0</v>
      </c>
      <c r="O8" s="85">
        <f>O7-(('Planilla de Liquidación'!M9+'Planilla de Liquidación'!M33)-(('Planilla de Liquidación'!M9+'Planilla de Liquidación'!M33)*0.17))</f>
        <v>0</v>
      </c>
    </row>
    <row r="9" spans="1:15" ht="15.75" thickBot="1" x14ac:dyDescent="0.3">
      <c r="A9" s="193" t="s">
        <v>97</v>
      </c>
      <c r="B9" s="194"/>
      <c r="C9" s="195"/>
      <c r="D9" s="86">
        <f>IFERROR(LOOKUP(D8,$I$18:$J$26,$K$18:$K$26)+((LOOKUP(D8,$I$18:$J$26,$L$18:$L$26)*(D7-LOOKUP(D8,$I$18:$J$26,$M$18:$M$26)))),0)</f>
        <v>0</v>
      </c>
      <c r="E9" s="86">
        <f>IFERROR(LOOKUP(E8,$I$27:$J$35,$K$27:$K$35)+((LOOKUP(E8,$I$27:$J$35,$L$27:$L$35)*(E7-LOOKUP(E8,$I$27:$J$35,$M$27:$M$35)))),0)</f>
        <v>0</v>
      </c>
      <c r="F9" s="86">
        <f>IFERROR(LOOKUP(F8,$I$36:$J$44,$K$36:$K$44)+((LOOKUP(F8,$I$36:$J$44,$L$36:$L$44)*(F7-LOOKUP(F8,$I$36:$J$44,$M$36:$M$44)))),0)</f>
        <v>0</v>
      </c>
      <c r="G9" s="86">
        <f>IFERROR(LOOKUP(G8,$I$45:$J$53,$K$45:$K$53)+((LOOKUP(G8,$I$45:$J$53,$L$45:$L$53)*(G7-LOOKUP(G8,$I$45:$J$53,$M$45:$M$53)))),0)</f>
        <v>0</v>
      </c>
      <c r="H9" s="86">
        <f>IFERROR(LOOKUP(H8,$I$54:$J$62,$K$54:$K$62)+((LOOKUP(H8,$I$54:$J$62,$L$54:$L$62)*(H7-LOOKUP(H8,$I$54:$J$62,$M$54:$M$62)))),0)</f>
        <v>0</v>
      </c>
      <c r="I9" s="86">
        <f>IFERROR(LOOKUP(I8,$I$63:$J$71,$K$63:$K$71)+((LOOKUP(I8,$I$63:$J$71,$L$63:$L$71)*(I7-LOOKUP(I8,$I$63:$J$71,$M$63:$M$71)))),0)</f>
        <v>0</v>
      </c>
      <c r="J9" s="86">
        <f>IFERROR(LOOKUP(J8,$I$72:$J$80,$K$72:$K$80)+((LOOKUP(J8,$I$72:$J$80,$L$72:$L$80)*(J7-LOOKUP(J8,$I$72:$J$80,$M$72:$M$80)))),0)</f>
        <v>0</v>
      </c>
      <c r="K9" s="86">
        <f>IFERROR(LOOKUP(K8,$I$81:$J$89,$K$81:$K$89)+((LOOKUP(K8,$I$81:$J$89,$L$81:$L$89)*(K7-LOOKUP(K8,$I$81:$J$89,$M$81:$M$89)))),0)</f>
        <v>0</v>
      </c>
      <c r="L9" s="86">
        <f>IFERROR(LOOKUP(L8,$I$90:$J$98,$K$90:$K$98)+((LOOKUP(L8,$I$90:$J$98,$L$90:$L$98)*(L7-LOOKUP(L8,$I$90:$J$98,$M$90:$M$98)))),0)</f>
        <v>0</v>
      </c>
      <c r="M9" s="86">
        <f>IFERROR(LOOKUP(M8,$I$99:$J$107,$K$99:$K$107)+((LOOKUP(M8,$I$99:$J$107,$L$99:$L$107)*(M7-LOOKUP(M8,$I$99:$J$107,$M$99:$M$107)))),0)</f>
        <v>0</v>
      </c>
      <c r="N9" s="86">
        <f>IFERROR(LOOKUP(N8,$I$108:$J$116,$K$108:$K$116)+((LOOKUP(N8,$I$108:$J$116,$L$108:$L$116)*(N7-LOOKUP(N8,$I$108:$J$116,$M$108:$M$116)))),0)</f>
        <v>0</v>
      </c>
      <c r="O9" s="86">
        <f>IFERROR(LOOKUP(O8,$I$117:$J$125,$K$117:$K$125)+((LOOKUP(O8,$I$117:$J$125,$L$117:$L$125)*(O7-LOOKUP(O8,$I$117:$J$125,$M$117:$M$125)))),0)</f>
        <v>0</v>
      </c>
    </row>
    <row r="10" spans="1:15" ht="15.75" thickBot="1" x14ac:dyDescent="0.3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</row>
    <row r="11" spans="1:15" ht="15.75" thickBot="1" x14ac:dyDescent="0.3">
      <c r="A11" s="201" t="s">
        <v>184</v>
      </c>
      <c r="B11" s="202"/>
      <c r="C11" s="203"/>
      <c r="D11" s="167">
        <f>+D4-D9</f>
        <v>0</v>
      </c>
      <c r="E11" s="86">
        <f t="shared" ref="E11:J11" si="0">+(E4-E9)-(+D4-D9)</f>
        <v>0</v>
      </c>
      <c r="F11" s="86">
        <f t="shared" si="0"/>
        <v>0</v>
      </c>
      <c r="G11" s="86">
        <f t="shared" si="0"/>
        <v>0</v>
      </c>
      <c r="H11" s="86">
        <f t="shared" si="0"/>
        <v>0</v>
      </c>
      <c r="I11" s="86">
        <f t="shared" si="0"/>
        <v>0</v>
      </c>
      <c r="J11" s="86">
        <f t="shared" si="0"/>
        <v>0</v>
      </c>
      <c r="K11" s="86">
        <f>+K4-K9</f>
        <v>0</v>
      </c>
      <c r="L11" s="86">
        <f>+L4-L9</f>
        <v>0</v>
      </c>
      <c r="M11" s="86">
        <f>+M4-M9</f>
        <v>0</v>
      </c>
      <c r="N11" s="86">
        <f>+N4-N9</f>
        <v>0</v>
      </c>
      <c r="O11" s="86">
        <f>+O4-O9</f>
        <v>0</v>
      </c>
    </row>
    <row r="12" spans="1:15" x14ac:dyDescent="0.25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</row>
    <row r="13" spans="1:15" ht="15.75" thickBot="1" x14ac:dyDescent="0.3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</row>
    <row r="14" spans="1:15" ht="15.6" customHeight="1" thickTop="1" thickBot="1" x14ac:dyDescent="0.3">
      <c r="A14" s="232" t="s">
        <v>188</v>
      </c>
      <c r="B14" s="233"/>
      <c r="C14" s="233"/>
      <c r="D14" s="233"/>
      <c r="E14" s="233"/>
      <c r="F14" s="234"/>
      <c r="H14" s="232" t="s">
        <v>189</v>
      </c>
      <c r="I14" s="233"/>
      <c r="J14" s="233"/>
      <c r="K14" s="233"/>
      <c r="L14" s="233"/>
      <c r="M14" s="234"/>
    </row>
    <row r="15" spans="1:15" ht="16.5" customHeight="1" thickTop="1" thickBot="1" x14ac:dyDescent="0.3">
      <c r="A15" s="172" t="s">
        <v>98</v>
      </c>
      <c r="B15" s="173"/>
      <c r="C15" s="174"/>
      <c r="D15" s="175" t="s">
        <v>99</v>
      </c>
      <c r="E15" s="173"/>
      <c r="F15" s="176"/>
      <c r="H15" s="196" t="s">
        <v>98</v>
      </c>
      <c r="I15" s="188"/>
      <c r="J15" s="197"/>
      <c r="K15" s="187" t="s">
        <v>99</v>
      </c>
      <c r="L15" s="188"/>
      <c r="M15" s="189"/>
    </row>
    <row r="16" spans="1:15" ht="26.45" customHeight="1" thickBot="1" x14ac:dyDescent="0.3">
      <c r="A16" s="177" t="s">
        <v>100</v>
      </c>
      <c r="B16" s="179" t="s">
        <v>101</v>
      </c>
      <c r="C16" s="180"/>
      <c r="D16" s="181" t="s">
        <v>102</v>
      </c>
      <c r="E16" s="182"/>
      <c r="F16" s="183"/>
      <c r="H16" s="204" t="s">
        <v>100</v>
      </c>
      <c r="I16" s="206" t="s">
        <v>101</v>
      </c>
      <c r="J16" s="207"/>
      <c r="K16" s="208" t="s">
        <v>102</v>
      </c>
      <c r="L16" s="209"/>
      <c r="M16" s="210"/>
      <c r="O16" s="162"/>
    </row>
    <row r="17" spans="1:15" ht="45.75" thickBot="1" x14ac:dyDescent="0.3">
      <c r="A17" s="178"/>
      <c r="B17" s="145" t="s">
        <v>103</v>
      </c>
      <c r="C17" s="145" t="s">
        <v>104</v>
      </c>
      <c r="D17" s="145" t="s">
        <v>105</v>
      </c>
      <c r="E17" s="145" t="s">
        <v>106</v>
      </c>
      <c r="F17" s="146" t="s">
        <v>107</v>
      </c>
      <c r="H17" s="205"/>
      <c r="I17" s="98" t="s">
        <v>103</v>
      </c>
      <c r="J17" s="98" t="s">
        <v>104</v>
      </c>
      <c r="K17" s="98" t="s">
        <v>105</v>
      </c>
      <c r="L17" s="98" t="s">
        <v>106</v>
      </c>
      <c r="M17" s="99" t="s">
        <v>107</v>
      </c>
      <c r="O17" s="162"/>
    </row>
    <row r="18" spans="1:15" ht="15.75" thickBot="1" x14ac:dyDescent="0.3">
      <c r="A18" s="211" t="s">
        <v>1</v>
      </c>
      <c r="B18" s="235">
        <v>0</v>
      </c>
      <c r="C18" s="236">
        <v>14486.22</v>
      </c>
      <c r="D18" s="235">
        <v>0</v>
      </c>
      <c r="E18" s="237">
        <v>0.05</v>
      </c>
      <c r="F18" s="238">
        <v>0</v>
      </c>
      <c r="H18" s="221" t="s">
        <v>1</v>
      </c>
      <c r="I18" s="229">
        <v>0</v>
      </c>
      <c r="J18" s="229">
        <v>19556.39</v>
      </c>
      <c r="K18" s="229">
        <v>0</v>
      </c>
      <c r="L18" s="222">
        <v>0.05</v>
      </c>
      <c r="M18" s="229">
        <v>0</v>
      </c>
      <c r="N18" s="159"/>
    </row>
    <row r="19" spans="1:15" ht="15.75" thickBot="1" x14ac:dyDescent="0.3">
      <c r="A19" s="212"/>
      <c r="B19" s="236">
        <v>14486.22</v>
      </c>
      <c r="C19" s="236">
        <v>28972.44</v>
      </c>
      <c r="D19" s="236">
        <v>724.31</v>
      </c>
      <c r="E19" s="239">
        <v>0.09</v>
      </c>
      <c r="F19" s="236">
        <v>14486.22</v>
      </c>
      <c r="G19" s="36"/>
      <c r="H19" s="223"/>
      <c r="I19" s="229">
        <v>19556.39</v>
      </c>
      <c r="J19" s="229">
        <v>39112.79</v>
      </c>
      <c r="K19" s="229">
        <v>977.82</v>
      </c>
      <c r="L19" s="224">
        <v>0.09</v>
      </c>
      <c r="M19" s="229">
        <v>19556.39</v>
      </c>
      <c r="N19" s="159"/>
    </row>
    <row r="20" spans="1:15" ht="15.75" thickBot="1" x14ac:dyDescent="0.3">
      <c r="A20" s="212"/>
      <c r="B20" s="236">
        <v>28972.44</v>
      </c>
      <c r="C20" s="236">
        <v>43458.65</v>
      </c>
      <c r="D20" s="236">
        <v>2028.07</v>
      </c>
      <c r="E20" s="239">
        <v>0.12</v>
      </c>
      <c r="F20" s="236">
        <v>28972.44</v>
      </c>
      <c r="G20" s="36"/>
      <c r="H20" s="223"/>
      <c r="I20" s="229">
        <v>39112.79</v>
      </c>
      <c r="J20" s="229">
        <v>58669.18</v>
      </c>
      <c r="K20" s="229">
        <v>2737.9</v>
      </c>
      <c r="L20" s="224">
        <v>0.12</v>
      </c>
      <c r="M20" s="229">
        <v>39112.79</v>
      </c>
      <c r="N20" s="159"/>
    </row>
    <row r="21" spans="1:15" ht="15.75" thickBot="1" x14ac:dyDescent="0.3">
      <c r="A21" s="212"/>
      <c r="B21" s="236">
        <v>43458.65</v>
      </c>
      <c r="C21" s="236">
        <v>57944.87</v>
      </c>
      <c r="D21" s="236">
        <v>3766.42</v>
      </c>
      <c r="E21" s="239">
        <v>0.15</v>
      </c>
      <c r="F21" s="236">
        <v>43458.65</v>
      </c>
      <c r="H21" s="223"/>
      <c r="I21" s="229">
        <v>58669.18</v>
      </c>
      <c r="J21" s="229">
        <v>78225.58</v>
      </c>
      <c r="K21" s="229">
        <v>5084.66</v>
      </c>
      <c r="L21" s="224">
        <v>0.15</v>
      </c>
      <c r="M21" s="229">
        <v>58669.18</v>
      </c>
      <c r="N21" s="159"/>
    </row>
    <row r="22" spans="1:15" ht="15.75" thickBot="1" x14ac:dyDescent="0.3">
      <c r="A22" s="212"/>
      <c r="B22" s="236">
        <v>57944.87</v>
      </c>
      <c r="C22" s="236">
        <v>86917.31</v>
      </c>
      <c r="D22" s="236">
        <v>5939.35</v>
      </c>
      <c r="E22" s="239">
        <v>0.19</v>
      </c>
      <c r="F22" s="236">
        <v>57944.87</v>
      </c>
      <c r="H22" s="223"/>
      <c r="I22" s="229">
        <v>78225.58</v>
      </c>
      <c r="J22" s="229">
        <v>117338.36</v>
      </c>
      <c r="K22" s="229">
        <v>8018.12</v>
      </c>
      <c r="L22" s="224">
        <v>0.19</v>
      </c>
      <c r="M22" s="229">
        <v>78225.58</v>
      </c>
      <c r="N22" s="159"/>
    </row>
    <row r="23" spans="1:15" ht="15.75" thickBot="1" x14ac:dyDescent="0.3">
      <c r="A23" s="212"/>
      <c r="B23" s="236">
        <v>86917.31</v>
      </c>
      <c r="C23" s="236">
        <v>115889.74</v>
      </c>
      <c r="D23" s="236">
        <v>11444.11</v>
      </c>
      <c r="E23" s="239">
        <v>0.23</v>
      </c>
      <c r="F23" s="236">
        <v>86917.31</v>
      </c>
      <c r="H23" s="223"/>
      <c r="I23" s="229">
        <v>117338.36</v>
      </c>
      <c r="J23" s="229">
        <v>156451.15</v>
      </c>
      <c r="K23" s="229">
        <v>15449.55</v>
      </c>
      <c r="L23" s="224">
        <v>0.23</v>
      </c>
      <c r="M23" s="229">
        <v>117338.36</v>
      </c>
      <c r="N23" s="159"/>
    </row>
    <row r="24" spans="1:15" ht="15.75" thickBot="1" x14ac:dyDescent="0.3">
      <c r="A24" s="212"/>
      <c r="B24" s="236">
        <v>115889.74</v>
      </c>
      <c r="C24" s="236">
        <v>173834.61</v>
      </c>
      <c r="D24" s="236">
        <v>18107.77</v>
      </c>
      <c r="E24" s="239">
        <v>0.27</v>
      </c>
      <c r="F24" s="236">
        <v>115889.74</v>
      </c>
      <c r="H24" s="223"/>
      <c r="I24" s="229">
        <v>156451.15</v>
      </c>
      <c r="J24" s="229">
        <v>234676.73</v>
      </c>
      <c r="K24" s="229">
        <v>24445.49</v>
      </c>
      <c r="L24" s="224">
        <v>0.27</v>
      </c>
      <c r="M24" s="229">
        <v>156451.15</v>
      </c>
      <c r="N24" s="159"/>
    </row>
    <row r="25" spans="1:15" ht="15.75" thickBot="1" x14ac:dyDescent="0.3">
      <c r="A25" s="212"/>
      <c r="B25" s="236">
        <v>173834.61</v>
      </c>
      <c r="C25" s="236">
        <v>231779.49</v>
      </c>
      <c r="D25" s="236">
        <v>33752.89</v>
      </c>
      <c r="E25" s="239">
        <v>0.31</v>
      </c>
      <c r="F25" s="236">
        <v>173834.61</v>
      </c>
      <c r="H25" s="223"/>
      <c r="I25" s="229">
        <v>234676.73</v>
      </c>
      <c r="J25" s="229">
        <v>312902.31</v>
      </c>
      <c r="K25" s="229">
        <v>45566.400000000001</v>
      </c>
      <c r="L25" s="224">
        <v>0.31</v>
      </c>
      <c r="M25" s="229">
        <v>234676.73</v>
      </c>
      <c r="N25" s="159"/>
    </row>
    <row r="26" spans="1:15" ht="15.75" thickBot="1" x14ac:dyDescent="0.3">
      <c r="A26" s="213"/>
      <c r="B26" s="236">
        <v>231779.49</v>
      </c>
      <c r="C26" s="240" t="s">
        <v>108</v>
      </c>
      <c r="D26" s="236">
        <v>51715.8</v>
      </c>
      <c r="E26" s="241">
        <v>0.35</v>
      </c>
      <c r="F26" s="236">
        <v>231779.49</v>
      </c>
      <c r="H26" s="225"/>
      <c r="I26" s="229">
        <v>312902.31</v>
      </c>
      <c r="J26" s="226" t="s">
        <v>108</v>
      </c>
      <c r="K26" s="229">
        <v>69816.33</v>
      </c>
      <c r="L26" s="227">
        <v>0.35</v>
      </c>
      <c r="M26" s="229">
        <v>312902.31</v>
      </c>
      <c r="N26" s="159"/>
    </row>
    <row r="27" spans="1:15" ht="15.75" thickBot="1" x14ac:dyDescent="0.3">
      <c r="A27" s="214" t="s">
        <v>2</v>
      </c>
      <c r="B27" s="147">
        <v>0</v>
      </c>
      <c r="C27" s="148">
        <v>28972.43</v>
      </c>
      <c r="D27" s="147">
        <v>0</v>
      </c>
      <c r="E27" s="149">
        <v>0.05</v>
      </c>
      <c r="F27" s="150">
        <v>0</v>
      </c>
      <c r="H27" s="214" t="s">
        <v>2</v>
      </c>
      <c r="I27" s="230">
        <v>0</v>
      </c>
      <c r="J27" s="230">
        <v>39112.79</v>
      </c>
      <c r="K27" s="230">
        <v>0</v>
      </c>
      <c r="L27" s="215">
        <v>0.05</v>
      </c>
      <c r="M27" s="230">
        <v>0</v>
      </c>
      <c r="N27" s="159"/>
    </row>
    <row r="28" spans="1:15" ht="15.75" thickBot="1" x14ac:dyDescent="0.3">
      <c r="A28" s="216"/>
      <c r="B28" s="148">
        <v>28972.43</v>
      </c>
      <c r="C28" s="148">
        <v>57944.87</v>
      </c>
      <c r="D28" s="148">
        <v>1448.62</v>
      </c>
      <c r="E28" s="151">
        <v>0.09</v>
      </c>
      <c r="F28" s="148">
        <v>28972.43</v>
      </c>
      <c r="H28" s="216"/>
      <c r="I28" s="230">
        <v>39112.79</v>
      </c>
      <c r="J28" s="230">
        <v>78225.58</v>
      </c>
      <c r="K28" s="230">
        <v>1955.64</v>
      </c>
      <c r="L28" s="217">
        <v>0.09</v>
      </c>
      <c r="M28" s="230">
        <v>39112.79</v>
      </c>
      <c r="N28" s="159"/>
    </row>
    <row r="29" spans="1:15" ht="15.75" thickBot="1" x14ac:dyDescent="0.3">
      <c r="A29" s="216"/>
      <c r="B29" s="148">
        <v>57944.87</v>
      </c>
      <c r="C29" s="148">
        <v>86917.31</v>
      </c>
      <c r="D29" s="148">
        <v>4056.14</v>
      </c>
      <c r="E29" s="151">
        <v>0.12</v>
      </c>
      <c r="F29" s="148">
        <v>57944.87</v>
      </c>
      <c r="H29" s="216"/>
      <c r="I29" s="230">
        <v>78225.58</v>
      </c>
      <c r="J29" s="230">
        <v>117338.36</v>
      </c>
      <c r="K29" s="230">
        <v>5475.79</v>
      </c>
      <c r="L29" s="217">
        <v>0.12</v>
      </c>
      <c r="M29" s="230">
        <v>78225.58</v>
      </c>
      <c r="N29" s="159"/>
    </row>
    <row r="30" spans="1:15" ht="15.75" thickBot="1" x14ac:dyDescent="0.3">
      <c r="A30" s="216"/>
      <c r="B30" s="148">
        <v>86917.31</v>
      </c>
      <c r="C30" s="148">
        <v>115889.74</v>
      </c>
      <c r="D30" s="148">
        <v>7532.83</v>
      </c>
      <c r="E30" s="151">
        <v>0.15</v>
      </c>
      <c r="F30" s="148">
        <v>86917.31</v>
      </c>
      <c r="H30" s="216"/>
      <c r="I30" s="230">
        <v>117338.36</v>
      </c>
      <c r="J30" s="230">
        <v>156451.16</v>
      </c>
      <c r="K30" s="230">
        <v>10169.32</v>
      </c>
      <c r="L30" s="217">
        <v>0.15</v>
      </c>
      <c r="M30" s="230">
        <v>117338.36</v>
      </c>
      <c r="N30" s="159"/>
    </row>
    <row r="31" spans="1:15" ht="15.75" thickBot="1" x14ac:dyDescent="0.3">
      <c r="A31" s="216"/>
      <c r="B31" s="148">
        <v>115889.74</v>
      </c>
      <c r="C31" s="148">
        <v>173834.61</v>
      </c>
      <c r="D31" s="148">
        <v>11878.7</v>
      </c>
      <c r="E31" s="151">
        <v>0.19</v>
      </c>
      <c r="F31" s="148">
        <v>115889.74</v>
      </c>
      <c r="H31" s="216"/>
      <c r="I31" s="230">
        <v>156451.16</v>
      </c>
      <c r="J31" s="230">
        <v>234676.73</v>
      </c>
      <c r="K31" s="230">
        <v>16036.24</v>
      </c>
      <c r="L31" s="217">
        <v>0.19</v>
      </c>
      <c r="M31" s="230">
        <v>156451.16</v>
      </c>
      <c r="N31" s="159"/>
    </row>
    <row r="32" spans="1:15" ht="15.75" thickBot="1" x14ac:dyDescent="0.3">
      <c r="A32" s="216"/>
      <c r="B32" s="148">
        <v>173834.61</v>
      </c>
      <c r="C32" s="148">
        <v>231779.48</v>
      </c>
      <c r="D32" s="148">
        <v>22888.22</v>
      </c>
      <c r="E32" s="151">
        <v>0.23</v>
      </c>
      <c r="F32" s="148">
        <v>173834.61</v>
      </c>
      <c r="H32" s="216"/>
      <c r="I32" s="230">
        <v>234676.73</v>
      </c>
      <c r="J32" s="230">
        <v>312902.3</v>
      </c>
      <c r="K32" s="230">
        <v>30899.1</v>
      </c>
      <c r="L32" s="217">
        <v>0.23</v>
      </c>
      <c r="M32" s="230">
        <v>234676.73</v>
      </c>
      <c r="N32" s="159"/>
    </row>
    <row r="33" spans="1:14" ht="15.75" thickBot="1" x14ac:dyDescent="0.3">
      <c r="A33" s="216"/>
      <c r="B33" s="148">
        <v>231779.48</v>
      </c>
      <c r="C33" s="148">
        <v>347669.22</v>
      </c>
      <c r="D33" s="148">
        <v>36215.54</v>
      </c>
      <c r="E33" s="151">
        <v>0.27</v>
      </c>
      <c r="F33" s="148">
        <v>231779.48</v>
      </c>
      <c r="H33" s="216"/>
      <c r="I33" s="230">
        <v>312902.3</v>
      </c>
      <c r="J33" s="230">
        <v>469353.45</v>
      </c>
      <c r="K33" s="230">
        <v>48890.98</v>
      </c>
      <c r="L33" s="217">
        <v>0.27</v>
      </c>
      <c r="M33" s="230">
        <v>312902.3</v>
      </c>
      <c r="N33" s="159"/>
    </row>
    <row r="34" spans="1:14" ht="15.75" thickBot="1" x14ac:dyDescent="0.3">
      <c r="A34" s="216"/>
      <c r="B34" s="148">
        <v>347669.22</v>
      </c>
      <c r="C34" s="148">
        <v>463558.97</v>
      </c>
      <c r="D34" s="148">
        <v>67505.77</v>
      </c>
      <c r="E34" s="151">
        <v>0.31</v>
      </c>
      <c r="F34" s="148">
        <v>347669.22</v>
      </c>
      <c r="H34" s="216"/>
      <c r="I34" s="230">
        <v>469353.45</v>
      </c>
      <c r="J34" s="230">
        <v>625804.62</v>
      </c>
      <c r="K34" s="230">
        <v>91132.800000000003</v>
      </c>
      <c r="L34" s="217">
        <v>0.31</v>
      </c>
      <c r="M34" s="230">
        <v>469353.45</v>
      </c>
      <c r="N34" s="159"/>
    </row>
    <row r="35" spans="1:14" ht="15.75" thickBot="1" x14ac:dyDescent="0.3">
      <c r="A35" s="218"/>
      <c r="B35" s="148">
        <v>463558.97</v>
      </c>
      <c r="C35" s="152" t="s">
        <v>108</v>
      </c>
      <c r="D35" s="148">
        <v>103431.6</v>
      </c>
      <c r="E35" s="153">
        <v>0.35</v>
      </c>
      <c r="F35" s="148">
        <v>463558.97</v>
      </c>
      <c r="H35" s="218"/>
      <c r="I35" s="230">
        <v>625804.62</v>
      </c>
      <c r="J35" s="219" t="s">
        <v>108</v>
      </c>
      <c r="K35" s="230">
        <v>139632.66</v>
      </c>
      <c r="L35" s="220">
        <v>0.35</v>
      </c>
      <c r="M35" s="230">
        <v>625804.62</v>
      </c>
      <c r="N35" s="159"/>
    </row>
    <row r="36" spans="1:14" ht="15.75" thickBot="1" x14ac:dyDescent="0.3">
      <c r="A36" s="221" t="s">
        <v>3</v>
      </c>
      <c r="B36" s="242">
        <v>0</v>
      </c>
      <c r="C36" s="243">
        <v>43458.65</v>
      </c>
      <c r="D36" s="242">
        <v>0</v>
      </c>
      <c r="E36" s="244">
        <v>0.05</v>
      </c>
      <c r="F36" s="245">
        <v>0</v>
      </c>
      <c r="H36" s="221" t="s">
        <v>3</v>
      </c>
      <c r="I36" s="229">
        <v>0</v>
      </c>
      <c r="J36" s="229">
        <v>58669.18</v>
      </c>
      <c r="K36" s="229">
        <v>0</v>
      </c>
      <c r="L36" s="222">
        <v>0.05</v>
      </c>
      <c r="M36" s="229">
        <v>0</v>
      </c>
      <c r="N36" s="159"/>
    </row>
    <row r="37" spans="1:14" ht="15.75" thickBot="1" x14ac:dyDescent="0.3">
      <c r="A37" s="223"/>
      <c r="B37" s="243">
        <v>43458.65</v>
      </c>
      <c r="C37" s="243">
        <v>86917.31</v>
      </c>
      <c r="D37" s="243">
        <v>2172.9299999999998</v>
      </c>
      <c r="E37" s="246">
        <v>0.09</v>
      </c>
      <c r="F37" s="243">
        <v>43458.65</v>
      </c>
      <c r="H37" s="223"/>
      <c r="I37" s="229">
        <v>58669.18</v>
      </c>
      <c r="J37" s="229">
        <v>117338.37</v>
      </c>
      <c r="K37" s="229">
        <v>2933.46</v>
      </c>
      <c r="L37" s="224">
        <v>0.09</v>
      </c>
      <c r="M37" s="229">
        <v>58669.18</v>
      </c>
      <c r="N37" s="159"/>
    </row>
    <row r="38" spans="1:14" ht="15.75" thickBot="1" x14ac:dyDescent="0.3">
      <c r="A38" s="223"/>
      <c r="B38" s="243">
        <v>86917.31</v>
      </c>
      <c r="C38" s="243">
        <v>130375.96</v>
      </c>
      <c r="D38" s="243">
        <v>6084.21</v>
      </c>
      <c r="E38" s="246">
        <v>0.12</v>
      </c>
      <c r="F38" s="243">
        <v>86917.31</v>
      </c>
      <c r="H38" s="223"/>
      <c r="I38" s="229">
        <v>117338.37</v>
      </c>
      <c r="J38" s="229">
        <v>176007.55</v>
      </c>
      <c r="K38" s="229">
        <v>8213.69</v>
      </c>
      <c r="L38" s="224">
        <v>0.12</v>
      </c>
      <c r="M38" s="229">
        <v>117338.37</v>
      </c>
      <c r="N38" s="159"/>
    </row>
    <row r="39" spans="1:14" ht="15.75" thickBot="1" x14ac:dyDescent="0.3">
      <c r="A39" s="223"/>
      <c r="B39" s="243">
        <v>130375.96</v>
      </c>
      <c r="C39" s="243">
        <v>173834.62</v>
      </c>
      <c r="D39" s="243">
        <v>11299.25</v>
      </c>
      <c r="E39" s="246">
        <v>0.15</v>
      </c>
      <c r="F39" s="243">
        <v>130375.96</v>
      </c>
      <c r="H39" s="223"/>
      <c r="I39" s="229">
        <v>176007.55</v>
      </c>
      <c r="J39" s="229">
        <v>234676.73</v>
      </c>
      <c r="K39" s="229">
        <v>15253.99</v>
      </c>
      <c r="L39" s="224">
        <v>0.15</v>
      </c>
      <c r="M39" s="229">
        <v>176007.55</v>
      </c>
      <c r="N39" s="159"/>
    </row>
    <row r="40" spans="1:14" ht="15.75" thickBot="1" x14ac:dyDescent="0.3">
      <c r="A40" s="223"/>
      <c r="B40" s="243">
        <v>173834.62</v>
      </c>
      <c r="C40" s="243">
        <v>260751.92</v>
      </c>
      <c r="D40" s="243">
        <v>17818.05</v>
      </c>
      <c r="E40" s="246">
        <v>0.19</v>
      </c>
      <c r="F40" s="243">
        <v>173834.62</v>
      </c>
      <c r="H40" s="223"/>
      <c r="I40" s="229">
        <v>234676.73</v>
      </c>
      <c r="J40" s="229">
        <v>352015.09</v>
      </c>
      <c r="K40" s="229">
        <v>24054.37</v>
      </c>
      <c r="L40" s="224">
        <v>0.19</v>
      </c>
      <c r="M40" s="229">
        <v>234676.73</v>
      </c>
      <c r="N40" s="159"/>
    </row>
    <row r="41" spans="1:14" ht="15.75" thickBot="1" x14ac:dyDescent="0.3">
      <c r="A41" s="223"/>
      <c r="B41" s="243">
        <v>260751.92</v>
      </c>
      <c r="C41" s="243">
        <v>347669.22</v>
      </c>
      <c r="D41" s="243">
        <v>34332.339999999997</v>
      </c>
      <c r="E41" s="246">
        <v>0.23</v>
      </c>
      <c r="F41" s="243">
        <v>260751.92</v>
      </c>
      <c r="H41" s="223"/>
      <c r="I41" s="229">
        <v>352015.09</v>
      </c>
      <c r="J41" s="229">
        <v>469353.45</v>
      </c>
      <c r="K41" s="229">
        <v>46348.65</v>
      </c>
      <c r="L41" s="224">
        <v>0.23</v>
      </c>
      <c r="M41" s="229">
        <v>352015.09</v>
      </c>
      <c r="N41" s="159"/>
    </row>
    <row r="42" spans="1:14" ht="15.75" thickBot="1" x14ac:dyDescent="0.3">
      <c r="A42" s="223"/>
      <c r="B42" s="243">
        <v>347669.22</v>
      </c>
      <c r="C42" s="243">
        <v>521503.84</v>
      </c>
      <c r="D42" s="243">
        <v>54323.32</v>
      </c>
      <c r="E42" s="246">
        <v>0.27</v>
      </c>
      <c r="F42" s="243">
        <v>347669.22</v>
      </c>
      <c r="H42" s="223"/>
      <c r="I42" s="229">
        <v>469353.45</v>
      </c>
      <c r="J42" s="229">
        <v>704030.18</v>
      </c>
      <c r="K42" s="229">
        <v>73336.479999999996</v>
      </c>
      <c r="L42" s="224">
        <v>0.27</v>
      </c>
      <c r="M42" s="229">
        <v>469353.45</v>
      </c>
      <c r="N42" s="159"/>
    </row>
    <row r="43" spans="1:14" ht="15.75" thickBot="1" x14ac:dyDescent="0.3">
      <c r="A43" s="223"/>
      <c r="B43" s="243">
        <v>521503.84</v>
      </c>
      <c r="C43" s="243">
        <v>695338.46</v>
      </c>
      <c r="D43" s="243">
        <v>101258.66</v>
      </c>
      <c r="E43" s="246">
        <v>0.31</v>
      </c>
      <c r="F43" s="243">
        <v>521503.84</v>
      </c>
      <c r="H43" s="223"/>
      <c r="I43" s="229">
        <v>704030.18</v>
      </c>
      <c r="J43" s="229">
        <v>938706.92</v>
      </c>
      <c r="K43" s="229">
        <v>136699.19</v>
      </c>
      <c r="L43" s="224">
        <v>0.31</v>
      </c>
      <c r="M43" s="229">
        <v>704030.18</v>
      </c>
      <c r="N43" s="159"/>
    </row>
    <row r="44" spans="1:14" ht="15.75" customHeight="1" thickBot="1" x14ac:dyDescent="0.3">
      <c r="A44" s="225"/>
      <c r="B44" s="243">
        <v>695338.46</v>
      </c>
      <c r="C44" s="247" t="s">
        <v>108</v>
      </c>
      <c r="D44" s="243">
        <v>155147.4</v>
      </c>
      <c r="E44" s="248">
        <v>0.35</v>
      </c>
      <c r="F44" s="243">
        <v>695338.46</v>
      </c>
      <c r="H44" s="225"/>
      <c r="I44" s="229">
        <v>938706.92</v>
      </c>
      <c r="J44" s="226" t="s">
        <v>108</v>
      </c>
      <c r="K44" s="229">
        <v>209448.98</v>
      </c>
      <c r="L44" s="227">
        <v>0.35</v>
      </c>
      <c r="M44" s="229">
        <v>938706.92</v>
      </c>
      <c r="N44" s="159"/>
    </row>
    <row r="45" spans="1:14" ht="15.75" thickBot="1" x14ac:dyDescent="0.3">
      <c r="A45" s="214" t="s">
        <v>4</v>
      </c>
      <c r="B45" s="147">
        <v>0</v>
      </c>
      <c r="C45" s="148">
        <v>57944.87</v>
      </c>
      <c r="D45" s="147">
        <v>0</v>
      </c>
      <c r="E45" s="149">
        <v>0.05</v>
      </c>
      <c r="F45" s="150">
        <v>0</v>
      </c>
      <c r="H45" s="214" t="s">
        <v>4</v>
      </c>
      <c r="I45" s="230">
        <v>0</v>
      </c>
      <c r="J45" s="230">
        <v>78225.570000000007</v>
      </c>
      <c r="K45" s="230">
        <v>0</v>
      </c>
      <c r="L45" s="215">
        <v>0.05</v>
      </c>
      <c r="M45" s="230">
        <v>0</v>
      </c>
      <c r="N45" s="159"/>
    </row>
    <row r="46" spans="1:14" ht="15.75" customHeight="1" thickBot="1" x14ac:dyDescent="0.3">
      <c r="A46" s="216"/>
      <c r="B46" s="148">
        <v>57944.87</v>
      </c>
      <c r="C46" s="148">
        <v>115889.74</v>
      </c>
      <c r="D46" s="148">
        <v>2897.24</v>
      </c>
      <c r="E46" s="151">
        <v>0.09</v>
      </c>
      <c r="F46" s="148">
        <v>57944.87</v>
      </c>
      <c r="H46" s="216"/>
      <c r="I46" s="230">
        <v>78225.570000000007</v>
      </c>
      <c r="J46" s="230">
        <v>156451.15</v>
      </c>
      <c r="K46" s="230">
        <v>3911.28</v>
      </c>
      <c r="L46" s="217">
        <v>0.09</v>
      </c>
      <c r="M46" s="230">
        <v>78225.570000000007</v>
      </c>
      <c r="N46" s="159"/>
    </row>
    <row r="47" spans="1:14" ht="15.75" customHeight="1" thickBot="1" x14ac:dyDescent="0.3">
      <c r="A47" s="216"/>
      <c r="B47" s="148">
        <v>115889.74</v>
      </c>
      <c r="C47" s="148">
        <v>173834.61</v>
      </c>
      <c r="D47" s="148">
        <v>8112.28</v>
      </c>
      <c r="E47" s="151">
        <v>0.12</v>
      </c>
      <c r="F47" s="148">
        <v>115889.74</v>
      </c>
      <c r="H47" s="216"/>
      <c r="I47" s="230">
        <v>156451.15</v>
      </c>
      <c r="J47" s="230">
        <v>234676.73</v>
      </c>
      <c r="K47" s="230">
        <v>10951.58</v>
      </c>
      <c r="L47" s="217">
        <v>0.12</v>
      </c>
      <c r="M47" s="230">
        <v>156451.15</v>
      </c>
      <c r="N47" s="159"/>
    </row>
    <row r="48" spans="1:14" ht="15.75" customHeight="1" thickBot="1" x14ac:dyDescent="0.3">
      <c r="A48" s="216"/>
      <c r="B48" s="148">
        <v>173834.61</v>
      </c>
      <c r="C48" s="148">
        <v>231779.49</v>
      </c>
      <c r="D48" s="148">
        <v>15065.67</v>
      </c>
      <c r="E48" s="151">
        <v>0.15</v>
      </c>
      <c r="F48" s="148">
        <v>173834.61</v>
      </c>
      <c r="H48" s="216"/>
      <c r="I48" s="230">
        <v>234676.73</v>
      </c>
      <c r="J48" s="230">
        <v>312902.31</v>
      </c>
      <c r="K48" s="230">
        <v>20338.650000000001</v>
      </c>
      <c r="L48" s="217">
        <v>0.15</v>
      </c>
      <c r="M48" s="230">
        <v>234676.73</v>
      </c>
      <c r="N48" s="159"/>
    </row>
    <row r="49" spans="1:14" ht="15.75" customHeight="1" thickBot="1" x14ac:dyDescent="0.3">
      <c r="A49" s="216"/>
      <c r="B49" s="148">
        <v>231779.49</v>
      </c>
      <c r="C49" s="148">
        <v>347669.23</v>
      </c>
      <c r="D49" s="148">
        <v>23757.4</v>
      </c>
      <c r="E49" s="151">
        <v>0.19</v>
      </c>
      <c r="F49" s="148">
        <v>231779.49</v>
      </c>
      <c r="H49" s="216"/>
      <c r="I49" s="230">
        <v>312902.31</v>
      </c>
      <c r="J49" s="230">
        <v>469353.46</v>
      </c>
      <c r="K49" s="230">
        <v>32072.49</v>
      </c>
      <c r="L49" s="217">
        <v>0.19</v>
      </c>
      <c r="M49" s="230">
        <v>312902.31</v>
      </c>
      <c r="N49" s="159"/>
    </row>
    <row r="50" spans="1:14" ht="15.75" customHeight="1" thickBot="1" x14ac:dyDescent="0.3">
      <c r="A50" s="216"/>
      <c r="B50" s="148">
        <v>347669.23</v>
      </c>
      <c r="C50" s="148">
        <v>463558.97</v>
      </c>
      <c r="D50" s="148">
        <v>45776.45</v>
      </c>
      <c r="E50" s="151">
        <v>0.23</v>
      </c>
      <c r="F50" s="148">
        <v>347669.23</v>
      </c>
      <c r="H50" s="216"/>
      <c r="I50" s="230">
        <v>469353.46</v>
      </c>
      <c r="J50" s="230">
        <v>625804.61</v>
      </c>
      <c r="K50" s="230">
        <v>61798.2</v>
      </c>
      <c r="L50" s="217">
        <v>0.23</v>
      </c>
      <c r="M50" s="230">
        <v>469353.46</v>
      </c>
      <c r="N50" s="159"/>
    </row>
    <row r="51" spans="1:14" ht="15.75" customHeight="1" thickBot="1" x14ac:dyDescent="0.3">
      <c r="A51" s="216"/>
      <c r="B51" s="148">
        <v>463558.97</v>
      </c>
      <c r="C51" s="148">
        <v>695338.45</v>
      </c>
      <c r="D51" s="148">
        <v>72431.09</v>
      </c>
      <c r="E51" s="151">
        <v>0.27</v>
      </c>
      <c r="F51" s="148">
        <v>463558.97</v>
      </c>
      <c r="H51" s="216"/>
      <c r="I51" s="230">
        <v>625804.61</v>
      </c>
      <c r="J51" s="230">
        <v>938706.91</v>
      </c>
      <c r="K51" s="230">
        <v>97781.97</v>
      </c>
      <c r="L51" s="217">
        <v>0.27</v>
      </c>
      <c r="M51" s="230">
        <v>625804.61</v>
      </c>
      <c r="N51" s="159"/>
    </row>
    <row r="52" spans="1:14" ht="15.75" customHeight="1" thickBot="1" x14ac:dyDescent="0.3">
      <c r="A52" s="216"/>
      <c r="B52" s="148">
        <v>695338.45</v>
      </c>
      <c r="C52" s="148">
        <v>927117.95</v>
      </c>
      <c r="D52" s="148">
        <v>135011.54999999999</v>
      </c>
      <c r="E52" s="151">
        <v>0.31</v>
      </c>
      <c r="F52" s="148">
        <v>695338.45</v>
      </c>
      <c r="H52" s="216"/>
      <c r="I52" s="230">
        <v>938706.91</v>
      </c>
      <c r="J52" s="230">
        <v>1251609.23</v>
      </c>
      <c r="K52" s="230">
        <v>182265.59</v>
      </c>
      <c r="L52" s="217">
        <v>0.31</v>
      </c>
      <c r="M52" s="230">
        <v>938706.91</v>
      </c>
      <c r="N52" s="159"/>
    </row>
    <row r="53" spans="1:14" ht="15.75" customHeight="1" thickBot="1" x14ac:dyDescent="0.3">
      <c r="A53" s="218"/>
      <c r="B53" s="148">
        <v>927117.95</v>
      </c>
      <c r="C53" s="152" t="s">
        <v>108</v>
      </c>
      <c r="D53" s="148">
        <v>206863.19</v>
      </c>
      <c r="E53" s="153">
        <v>0.35</v>
      </c>
      <c r="F53" s="148">
        <v>927117.95</v>
      </c>
      <c r="H53" s="218"/>
      <c r="I53" s="230">
        <v>1251609.23</v>
      </c>
      <c r="J53" s="219" t="s">
        <v>108</v>
      </c>
      <c r="K53" s="230">
        <v>279265.31</v>
      </c>
      <c r="L53" s="220">
        <v>0.35</v>
      </c>
      <c r="M53" s="230">
        <v>1251609.23</v>
      </c>
      <c r="N53" s="159"/>
    </row>
    <row r="54" spans="1:14" ht="15.75" thickBot="1" x14ac:dyDescent="0.3">
      <c r="A54" s="221" t="s">
        <v>5</v>
      </c>
      <c r="B54" s="242">
        <v>0</v>
      </c>
      <c r="C54" s="243">
        <v>72431.09</v>
      </c>
      <c r="D54" s="242">
        <v>0</v>
      </c>
      <c r="E54" s="244">
        <v>0.05</v>
      </c>
      <c r="F54" s="245">
        <v>0</v>
      </c>
      <c r="H54" s="221" t="s">
        <v>5</v>
      </c>
      <c r="I54" s="229">
        <v>0</v>
      </c>
      <c r="J54" s="229">
        <v>97781.97</v>
      </c>
      <c r="K54" s="229">
        <v>0</v>
      </c>
      <c r="L54" s="222">
        <v>0.05</v>
      </c>
      <c r="M54" s="229">
        <v>0</v>
      </c>
      <c r="N54" s="159"/>
    </row>
    <row r="55" spans="1:14" ht="15.75" thickBot="1" x14ac:dyDescent="0.3">
      <c r="A55" s="223"/>
      <c r="B55" s="243">
        <v>72431.09</v>
      </c>
      <c r="C55" s="243">
        <v>144862.18</v>
      </c>
      <c r="D55" s="243">
        <v>3621.55</v>
      </c>
      <c r="E55" s="246">
        <v>0.09</v>
      </c>
      <c r="F55" s="243">
        <v>72431.09</v>
      </c>
      <c r="H55" s="223"/>
      <c r="I55" s="229">
        <v>97781.97</v>
      </c>
      <c r="J55" s="229">
        <v>195563.94</v>
      </c>
      <c r="K55" s="229">
        <v>4889.1000000000004</v>
      </c>
      <c r="L55" s="224">
        <v>0.09</v>
      </c>
      <c r="M55" s="229">
        <v>97781.97</v>
      </c>
      <c r="N55" s="159"/>
    </row>
    <row r="56" spans="1:14" ht="15.75" thickBot="1" x14ac:dyDescent="0.3">
      <c r="A56" s="223"/>
      <c r="B56" s="243">
        <v>144862.18</v>
      </c>
      <c r="C56" s="243">
        <v>217293.27</v>
      </c>
      <c r="D56" s="243">
        <v>10140.35</v>
      </c>
      <c r="E56" s="246">
        <v>0.12</v>
      </c>
      <c r="F56" s="243">
        <v>144862.18</v>
      </c>
      <c r="H56" s="223"/>
      <c r="I56" s="229">
        <v>195563.94</v>
      </c>
      <c r="J56" s="229">
        <v>293345.90999999997</v>
      </c>
      <c r="K56" s="229">
        <v>13689.48</v>
      </c>
      <c r="L56" s="224">
        <v>0.12</v>
      </c>
      <c r="M56" s="229">
        <v>195563.94</v>
      </c>
      <c r="N56" s="159"/>
    </row>
    <row r="57" spans="1:14" ht="15.75" thickBot="1" x14ac:dyDescent="0.3">
      <c r="A57" s="223"/>
      <c r="B57" s="243">
        <v>217293.27</v>
      </c>
      <c r="C57" s="243">
        <v>289724.36</v>
      </c>
      <c r="D57" s="243">
        <v>18832.080000000002</v>
      </c>
      <c r="E57" s="246">
        <v>0.15</v>
      </c>
      <c r="F57" s="243">
        <v>217293.27</v>
      </c>
      <c r="H57" s="223"/>
      <c r="I57" s="229">
        <v>293345.90999999997</v>
      </c>
      <c r="J57" s="229">
        <v>391127.89</v>
      </c>
      <c r="K57" s="229">
        <v>25423.31</v>
      </c>
      <c r="L57" s="224">
        <v>0.15</v>
      </c>
      <c r="M57" s="229">
        <v>293345.90999999997</v>
      </c>
      <c r="N57" s="159"/>
    </row>
    <row r="58" spans="1:14" ht="15.75" thickBot="1" x14ac:dyDescent="0.3">
      <c r="A58" s="223"/>
      <c r="B58" s="243">
        <v>289724.36</v>
      </c>
      <c r="C58" s="243">
        <v>434586.53</v>
      </c>
      <c r="D58" s="243">
        <v>29696.75</v>
      </c>
      <c r="E58" s="246">
        <v>0.19</v>
      </c>
      <c r="F58" s="243">
        <v>289724.36</v>
      </c>
      <c r="H58" s="223"/>
      <c r="I58" s="229">
        <v>391127.89</v>
      </c>
      <c r="J58" s="229">
        <v>586691.81999999995</v>
      </c>
      <c r="K58" s="229">
        <v>40090.61</v>
      </c>
      <c r="L58" s="224">
        <v>0.19</v>
      </c>
      <c r="M58" s="229">
        <v>391127.89</v>
      </c>
      <c r="N58" s="159"/>
    </row>
    <row r="59" spans="1:14" ht="15.75" thickBot="1" x14ac:dyDescent="0.3">
      <c r="A59" s="223"/>
      <c r="B59" s="243">
        <v>434586.53</v>
      </c>
      <c r="C59" s="243">
        <v>579448.71</v>
      </c>
      <c r="D59" s="243">
        <v>57220.56</v>
      </c>
      <c r="E59" s="246">
        <v>0.23</v>
      </c>
      <c r="F59" s="243">
        <v>434586.53</v>
      </c>
      <c r="H59" s="223"/>
      <c r="I59" s="229">
        <v>586691.81999999995</v>
      </c>
      <c r="J59" s="229">
        <v>782255.76</v>
      </c>
      <c r="K59" s="229">
        <v>77247.759999999995</v>
      </c>
      <c r="L59" s="224">
        <v>0.23</v>
      </c>
      <c r="M59" s="229">
        <v>586691.81999999995</v>
      </c>
      <c r="N59" s="159"/>
    </row>
    <row r="60" spans="1:14" ht="15.75" thickBot="1" x14ac:dyDescent="0.3">
      <c r="A60" s="223"/>
      <c r="B60" s="243">
        <v>579448.71</v>
      </c>
      <c r="C60" s="243">
        <v>869173.06</v>
      </c>
      <c r="D60" s="243">
        <v>90538.86</v>
      </c>
      <c r="E60" s="246">
        <v>0.27</v>
      </c>
      <c r="F60" s="243">
        <v>579448.71</v>
      </c>
      <c r="H60" s="223"/>
      <c r="I60" s="229">
        <v>782255.76</v>
      </c>
      <c r="J60" s="229">
        <v>1173383.6299999999</v>
      </c>
      <c r="K60" s="229">
        <v>122227.46</v>
      </c>
      <c r="L60" s="224">
        <v>0.27</v>
      </c>
      <c r="M60" s="229">
        <v>782255.76</v>
      </c>
      <c r="N60" s="159"/>
    </row>
    <row r="61" spans="1:14" ht="15.75" thickBot="1" x14ac:dyDescent="0.3">
      <c r="A61" s="223"/>
      <c r="B61" s="243">
        <v>869173.06</v>
      </c>
      <c r="C61" s="243">
        <v>1158897.44</v>
      </c>
      <c r="D61" s="243">
        <v>168764.44</v>
      </c>
      <c r="E61" s="246">
        <v>0.31</v>
      </c>
      <c r="F61" s="243">
        <v>869173.06</v>
      </c>
      <c r="H61" s="223"/>
      <c r="I61" s="229">
        <v>1173383.6299999999</v>
      </c>
      <c r="J61" s="229">
        <v>1564511.54</v>
      </c>
      <c r="K61" s="229">
        <v>227831.99</v>
      </c>
      <c r="L61" s="224">
        <v>0.31</v>
      </c>
      <c r="M61" s="229">
        <v>1173383.6299999999</v>
      </c>
      <c r="N61" s="159"/>
    </row>
    <row r="62" spans="1:14" ht="15.75" thickBot="1" x14ac:dyDescent="0.3">
      <c r="A62" s="225"/>
      <c r="B62" s="243">
        <v>1158897.44</v>
      </c>
      <c r="C62" s="247" t="s">
        <v>108</v>
      </c>
      <c r="D62" s="243">
        <v>258578.99</v>
      </c>
      <c r="E62" s="248">
        <v>0.35</v>
      </c>
      <c r="F62" s="243">
        <v>1158897.44</v>
      </c>
      <c r="H62" s="225"/>
      <c r="I62" s="229">
        <v>1564511.54</v>
      </c>
      <c r="J62" s="226" t="s">
        <v>108</v>
      </c>
      <c r="K62" s="229">
        <v>349081.64</v>
      </c>
      <c r="L62" s="227">
        <v>0.35</v>
      </c>
      <c r="M62" s="229">
        <v>1564511.54</v>
      </c>
      <c r="N62" s="159"/>
    </row>
    <row r="63" spans="1:14" ht="15.75" thickBot="1" x14ac:dyDescent="0.3">
      <c r="A63" s="214" t="s">
        <v>6</v>
      </c>
      <c r="B63" s="147">
        <v>0</v>
      </c>
      <c r="C63" s="148">
        <v>86917.3</v>
      </c>
      <c r="D63" s="147">
        <v>0</v>
      </c>
      <c r="E63" s="149">
        <v>0.05</v>
      </c>
      <c r="F63" s="150">
        <v>0</v>
      </c>
      <c r="H63" s="214" t="s">
        <v>6</v>
      </c>
      <c r="I63" s="230">
        <v>0</v>
      </c>
      <c r="J63" s="230">
        <v>117338.36</v>
      </c>
      <c r="K63" s="230">
        <v>0</v>
      </c>
      <c r="L63" s="215">
        <v>0.05</v>
      </c>
      <c r="M63" s="230">
        <v>0</v>
      </c>
      <c r="N63" s="159"/>
    </row>
    <row r="64" spans="1:14" ht="15.75" thickBot="1" x14ac:dyDescent="0.3">
      <c r="A64" s="216"/>
      <c r="B64" s="148">
        <v>86917.3</v>
      </c>
      <c r="C64" s="148">
        <v>173834.62</v>
      </c>
      <c r="D64" s="148">
        <v>4345.87</v>
      </c>
      <c r="E64" s="151">
        <v>0.09</v>
      </c>
      <c r="F64" s="148">
        <v>86917.3</v>
      </c>
      <c r="H64" s="216"/>
      <c r="I64" s="230">
        <v>117338.36</v>
      </c>
      <c r="J64" s="230">
        <v>234676.73</v>
      </c>
      <c r="K64" s="230">
        <v>5866.92</v>
      </c>
      <c r="L64" s="217">
        <v>0.09</v>
      </c>
      <c r="M64" s="230">
        <v>117338.36</v>
      </c>
      <c r="N64" s="159"/>
    </row>
    <row r="65" spans="1:14" ht="15.75" thickBot="1" x14ac:dyDescent="0.3">
      <c r="A65" s="216"/>
      <c r="B65" s="148">
        <v>173834.62</v>
      </c>
      <c r="C65" s="148">
        <v>260751.92</v>
      </c>
      <c r="D65" s="148">
        <v>12168.42</v>
      </c>
      <c r="E65" s="151">
        <v>0.12</v>
      </c>
      <c r="F65" s="148">
        <v>173834.62</v>
      </c>
      <c r="H65" s="216"/>
      <c r="I65" s="230">
        <v>234676.73</v>
      </c>
      <c r="J65" s="230">
        <v>352015.09</v>
      </c>
      <c r="K65" s="230">
        <v>16427.37</v>
      </c>
      <c r="L65" s="217">
        <v>0.12</v>
      </c>
      <c r="M65" s="230">
        <v>234676.73</v>
      </c>
      <c r="N65" s="159"/>
    </row>
    <row r="66" spans="1:14" ht="15.75" thickBot="1" x14ac:dyDescent="0.3">
      <c r="A66" s="216"/>
      <c r="B66" s="148">
        <v>260751.92</v>
      </c>
      <c r="C66" s="148">
        <v>347669.23</v>
      </c>
      <c r="D66" s="148">
        <v>22598.5</v>
      </c>
      <c r="E66" s="151">
        <v>0.15</v>
      </c>
      <c r="F66" s="148">
        <v>260751.92</v>
      </c>
      <c r="H66" s="216"/>
      <c r="I66" s="230">
        <v>352015.09</v>
      </c>
      <c r="J66" s="230">
        <v>469353.47</v>
      </c>
      <c r="K66" s="230">
        <v>30507.97</v>
      </c>
      <c r="L66" s="217">
        <v>0.15</v>
      </c>
      <c r="M66" s="230">
        <v>352015.09</v>
      </c>
      <c r="N66" s="159"/>
    </row>
    <row r="67" spans="1:14" ht="15.75" thickBot="1" x14ac:dyDescent="0.3">
      <c r="A67" s="216"/>
      <c r="B67" s="148">
        <v>347669.23</v>
      </c>
      <c r="C67" s="148">
        <v>521503.84</v>
      </c>
      <c r="D67" s="148">
        <v>35636.1</v>
      </c>
      <c r="E67" s="151">
        <v>0.19</v>
      </c>
      <c r="F67" s="148">
        <v>347669.23</v>
      </c>
      <c r="H67" s="216"/>
      <c r="I67" s="230">
        <v>469353.47</v>
      </c>
      <c r="J67" s="230">
        <v>704030.18</v>
      </c>
      <c r="K67" s="230">
        <v>48108.73</v>
      </c>
      <c r="L67" s="217">
        <v>0.19</v>
      </c>
      <c r="M67" s="230">
        <v>469353.47</v>
      </c>
      <c r="N67" s="159"/>
    </row>
    <row r="68" spans="1:14" ht="15.75" thickBot="1" x14ac:dyDescent="0.3">
      <c r="A68" s="216"/>
      <c r="B68" s="148">
        <v>521503.84</v>
      </c>
      <c r="C68" s="148">
        <v>695338.45</v>
      </c>
      <c r="D68" s="148">
        <v>68664.67</v>
      </c>
      <c r="E68" s="151">
        <v>0.23</v>
      </c>
      <c r="F68" s="148">
        <v>521503.84</v>
      </c>
      <c r="H68" s="216"/>
      <c r="I68" s="230">
        <v>704030.18</v>
      </c>
      <c r="J68" s="230">
        <v>938706.91</v>
      </c>
      <c r="K68" s="230">
        <v>92697.31</v>
      </c>
      <c r="L68" s="217">
        <v>0.23</v>
      </c>
      <c r="M68" s="230">
        <v>704030.18</v>
      </c>
      <c r="N68" s="159"/>
    </row>
    <row r="69" spans="1:14" ht="15.75" thickBot="1" x14ac:dyDescent="0.3">
      <c r="A69" s="216"/>
      <c r="B69" s="148">
        <v>695338.45</v>
      </c>
      <c r="C69" s="148">
        <v>1043007.67</v>
      </c>
      <c r="D69" s="148">
        <v>108646.63</v>
      </c>
      <c r="E69" s="151">
        <v>0.27</v>
      </c>
      <c r="F69" s="148">
        <v>695338.45</v>
      </c>
      <c r="H69" s="216"/>
      <c r="I69" s="230">
        <v>938706.91</v>
      </c>
      <c r="J69" s="230">
        <v>1408060.36</v>
      </c>
      <c r="K69" s="230">
        <v>146672.95000000001</v>
      </c>
      <c r="L69" s="217">
        <v>0.27</v>
      </c>
      <c r="M69" s="230">
        <v>938706.91</v>
      </c>
      <c r="N69" s="159"/>
    </row>
    <row r="70" spans="1:14" ht="15.75" thickBot="1" x14ac:dyDescent="0.3">
      <c r="A70" s="216"/>
      <c r="B70" s="148">
        <v>1043007.67</v>
      </c>
      <c r="C70" s="148">
        <v>1390676.92</v>
      </c>
      <c r="D70" s="148">
        <v>202517.32</v>
      </c>
      <c r="E70" s="151">
        <v>0.31</v>
      </c>
      <c r="F70" s="148">
        <v>1043007.67</v>
      </c>
      <c r="H70" s="216"/>
      <c r="I70" s="230">
        <v>1408060.36</v>
      </c>
      <c r="J70" s="230">
        <v>1877413.85</v>
      </c>
      <c r="K70" s="230">
        <v>273398.39</v>
      </c>
      <c r="L70" s="217">
        <v>0.31</v>
      </c>
      <c r="M70" s="230">
        <v>1408060.36</v>
      </c>
      <c r="N70" s="159"/>
    </row>
    <row r="71" spans="1:14" ht="15.75" thickBot="1" x14ac:dyDescent="0.3">
      <c r="A71" s="218"/>
      <c r="B71" s="148">
        <v>1390676.92</v>
      </c>
      <c r="C71" s="152" t="s">
        <v>108</v>
      </c>
      <c r="D71" s="148">
        <v>310294.78999999998</v>
      </c>
      <c r="E71" s="153">
        <v>0.35</v>
      </c>
      <c r="F71" s="148">
        <v>1390676.92</v>
      </c>
      <c r="H71" s="218"/>
      <c r="I71" s="230">
        <v>1877413.85</v>
      </c>
      <c r="J71" s="219" t="s">
        <v>108</v>
      </c>
      <c r="K71" s="230">
        <v>418897.97</v>
      </c>
      <c r="L71" s="220">
        <v>0.35</v>
      </c>
      <c r="M71" s="230">
        <v>1877413.85</v>
      </c>
      <c r="N71" s="159"/>
    </row>
    <row r="72" spans="1:14" ht="15.75" thickBot="1" x14ac:dyDescent="0.3">
      <c r="A72" s="221" t="s">
        <v>7</v>
      </c>
      <c r="B72" s="242">
        <v>0</v>
      </c>
      <c r="C72" s="243">
        <v>101403.52</v>
      </c>
      <c r="D72" s="242">
        <v>0</v>
      </c>
      <c r="E72" s="244">
        <v>0.05</v>
      </c>
      <c r="F72" s="245">
        <v>0</v>
      </c>
      <c r="H72" s="221" t="s">
        <v>7</v>
      </c>
      <c r="I72" s="229">
        <v>0</v>
      </c>
      <c r="J72" s="229">
        <v>136894.76</v>
      </c>
      <c r="K72" s="229">
        <v>0</v>
      </c>
      <c r="L72" s="222">
        <v>0.05</v>
      </c>
      <c r="M72" s="229">
        <v>0</v>
      </c>
      <c r="N72" s="159"/>
    </row>
    <row r="73" spans="1:14" ht="15.75" thickBot="1" x14ac:dyDescent="0.3">
      <c r="A73" s="223"/>
      <c r="B73" s="243">
        <v>101403.52</v>
      </c>
      <c r="C73" s="243">
        <v>202807.05</v>
      </c>
      <c r="D73" s="243">
        <v>5070.18</v>
      </c>
      <c r="E73" s="246">
        <v>0.09</v>
      </c>
      <c r="F73" s="243">
        <v>101403.52</v>
      </c>
      <c r="H73" s="223"/>
      <c r="I73" s="229">
        <v>136894.76</v>
      </c>
      <c r="J73" s="229">
        <v>273789.52</v>
      </c>
      <c r="K73" s="229">
        <v>6844.74</v>
      </c>
      <c r="L73" s="224">
        <v>0.09</v>
      </c>
      <c r="M73" s="229">
        <v>136894.76</v>
      </c>
      <c r="N73" s="159"/>
    </row>
    <row r="74" spans="1:14" ht="15.75" thickBot="1" x14ac:dyDescent="0.3">
      <c r="A74" s="223"/>
      <c r="B74" s="243">
        <v>202807.05</v>
      </c>
      <c r="C74" s="243">
        <v>304210.57</v>
      </c>
      <c r="D74" s="243">
        <v>14196.49</v>
      </c>
      <c r="E74" s="246">
        <v>0.12</v>
      </c>
      <c r="F74" s="243">
        <v>202807.05</v>
      </c>
      <c r="H74" s="223"/>
      <c r="I74" s="229">
        <v>273789.52</v>
      </c>
      <c r="J74" s="229">
        <v>410684.27</v>
      </c>
      <c r="K74" s="229">
        <v>19165.27</v>
      </c>
      <c r="L74" s="224">
        <v>0.12</v>
      </c>
      <c r="M74" s="229">
        <v>273789.52</v>
      </c>
      <c r="N74" s="159"/>
    </row>
    <row r="75" spans="1:14" ht="15.75" thickBot="1" x14ac:dyDescent="0.3">
      <c r="A75" s="223"/>
      <c r="B75" s="243">
        <v>304210.57</v>
      </c>
      <c r="C75" s="243">
        <v>405614.11</v>
      </c>
      <c r="D75" s="243">
        <v>26364.92</v>
      </c>
      <c r="E75" s="246">
        <v>0.15</v>
      </c>
      <c r="F75" s="243">
        <v>304210.57</v>
      </c>
      <c r="H75" s="223"/>
      <c r="I75" s="229">
        <v>410684.27</v>
      </c>
      <c r="J75" s="229">
        <v>547579.05000000005</v>
      </c>
      <c r="K75" s="229">
        <v>35592.639999999999</v>
      </c>
      <c r="L75" s="224">
        <v>0.15</v>
      </c>
      <c r="M75" s="229">
        <v>410684.27</v>
      </c>
      <c r="N75" s="159"/>
    </row>
    <row r="76" spans="1:14" ht="15.75" thickBot="1" x14ac:dyDescent="0.3">
      <c r="A76" s="223"/>
      <c r="B76" s="243">
        <v>405614.11</v>
      </c>
      <c r="C76" s="243">
        <v>608421.15</v>
      </c>
      <c r="D76" s="243">
        <v>41575.449999999997</v>
      </c>
      <c r="E76" s="246">
        <v>0.19</v>
      </c>
      <c r="F76" s="243">
        <v>405614.11</v>
      </c>
      <c r="H76" s="223"/>
      <c r="I76" s="229">
        <v>547579.05000000005</v>
      </c>
      <c r="J76" s="229">
        <v>821368.55</v>
      </c>
      <c r="K76" s="229">
        <v>56126.85</v>
      </c>
      <c r="L76" s="224">
        <v>0.19</v>
      </c>
      <c r="M76" s="229">
        <v>547579.05000000005</v>
      </c>
      <c r="N76" s="159"/>
    </row>
    <row r="77" spans="1:14" ht="15.75" thickBot="1" x14ac:dyDescent="0.3">
      <c r="A77" s="223"/>
      <c r="B77" s="243">
        <v>608421.15</v>
      </c>
      <c r="C77" s="243">
        <v>811228.19</v>
      </c>
      <c r="D77" s="243">
        <v>80108.78</v>
      </c>
      <c r="E77" s="246">
        <v>0.23</v>
      </c>
      <c r="F77" s="243">
        <v>608421.15</v>
      </c>
      <c r="H77" s="223"/>
      <c r="I77" s="229">
        <v>821368.55</v>
      </c>
      <c r="J77" s="229">
        <v>1095158.06</v>
      </c>
      <c r="K77" s="229">
        <v>108146.86</v>
      </c>
      <c r="L77" s="224">
        <v>0.23</v>
      </c>
      <c r="M77" s="229">
        <v>821368.55</v>
      </c>
      <c r="N77" s="159"/>
    </row>
    <row r="78" spans="1:14" ht="15.75" thickBot="1" x14ac:dyDescent="0.3">
      <c r="A78" s="223"/>
      <c r="B78" s="243">
        <v>811228.19</v>
      </c>
      <c r="C78" s="243">
        <v>1216842.28</v>
      </c>
      <c r="D78" s="243">
        <v>126754.4</v>
      </c>
      <c r="E78" s="246">
        <v>0.27</v>
      </c>
      <c r="F78" s="243">
        <v>811228.19</v>
      </c>
      <c r="H78" s="223"/>
      <c r="I78" s="229">
        <v>1095158.06</v>
      </c>
      <c r="J78" s="229">
        <v>1642737.09</v>
      </c>
      <c r="K78" s="229">
        <v>171118.45</v>
      </c>
      <c r="L78" s="224">
        <v>0.27</v>
      </c>
      <c r="M78" s="229">
        <v>1095158.06</v>
      </c>
      <c r="N78" s="159"/>
    </row>
    <row r="79" spans="1:14" ht="15.75" thickBot="1" x14ac:dyDescent="0.3">
      <c r="A79" s="223"/>
      <c r="B79" s="243">
        <v>1216842.28</v>
      </c>
      <c r="C79" s="243">
        <v>1622456.41</v>
      </c>
      <c r="D79" s="243">
        <v>236270.21</v>
      </c>
      <c r="E79" s="246">
        <v>0.31</v>
      </c>
      <c r="F79" s="243">
        <v>1216842.28</v>
      </c>
      <c r="H79" s="223"/>
      <c r="I79" s="229">
        <v>1642737.09</v>
      </c>
      <c r="J79" s="229">
        <v>2190316.16</v>
      </c>
      <c r="K79" s="229">
        <v>318964.78000000003</v>
      </c>
      <c r="L79" s="224">
        <v>0.31</v>
      </c>
      <c r="M79" s="229">
        <v>1642737.09</v>
      </c>
      <c r="N79" s="159"/>
    </row>
    <row r="80" spans="1:14" ht="15.75" thickBot="1" x14ac:dyDescent="0.3">
      <c r="A80" s="225"/>
      <c r="B80" s="243">
        <v>1622456.41</v>
      </c>
      <c r="C80" s="247" t="s">
        <v>108</v>
      </c>
      <c r="D80" s="243">
        <v>362010.59</v>
      </c>
      <c r="E80" s="248">
        <v>0.35</v>
      </c>
      <c r="F80" s="243">
        <v>1622456.41</v>
      </c>
      <c r="H80" s="225"/>
      <c r="I80" s="229">
        <v>2190316.16</v>
      </c>
      <c r="J80" s="226" t="s">
        <v>108</v>
      </c>
      <c r="K80" s="229">
        <v>488714.3</v>
      </c>
      <c r="L80" s="227">
        <v>0.35</v>
      </c>
      <c r="M80" s="229">
        <v>2190316.16</v>
      </c>
      <c r="N80" s="159"/>
    </row>
    <row r="81" spans="1:15" ht="15.75" thickBot="1" x14ac:dyDescent="0.3">
      <c r="A81" s="214" t="s">
        <v>8</v>
      </c>
      <c r="B81" s="147">
        <v>0</v>
      </c>
      <c r="C81" s="148">
        <v>115889.74</v>
      </c>
      <c r="D81" s="147">
        <v>0</v>
      </c>
      <c r="E81" s="149">
        <v>0.05</v>
      </c>
      <c r="F81" s="150">
        <v>0</v>
      </c>
      <c r="H81" s="214" t="s">
        <v>8</v>
      </c>
      <c r="I81" s="230">
        <v>0</v>
      </c>
      <c r="J81" s="230">
        <v>156451.15</v>
      </c>
      <c r="K81" s="230">
        <v>0</v>
      </c>
      <c r="L81" s="215">
        <v>0.05</v>
      </c>
      <c r="M81" s="230">
        <v>0</v>
      </c>
      <c r="N81" s="159"/>
    </row>
    <row r="82" spans="1:15" ht="15.75" thickBot="1" x14ac:dyDescent="0.3">
      <c r="A82" s="216"/>
      <c r="B82" s="148">
        <v>115889.74</v>
      </c>
      <c r="C82" s="148">
        <v>231779.49</v>
      </c>
      <c r="D82" s="148">
        <v>5794.49</v>
      </c>
      <c r="E82" s="151">
        <v>0.09</v>
      </c>
      <c r="F82" s="148">
        <v>115889.74</v>
      </c>
      <c r="H82" s="216"/>
      <c r="I82" s="231">
        <v>156451.15</v>
      </c>
      <c r="J82" s="231">
        <v>312902.31</v>
      </c>
      <c r="K82" s="231">
        <v>7822.56</v>
      </c>
      <c r="L82" s="228">
        <v>0.09</v>
      </c>
      <c r="M82" s="231">
        <v>156451.15</v>
      </c>
      <c r="N82" s="159"/>
    </row>
    <row r="83" spans="1:15" ht="15.75" thickBot="1" x14ac:dyDescent="0.3">
      <c r="A83" s="216"/>
      <c r="B83" s="249">
        <v>231779.49</v>
      </c>
      <c r="C83" s="249">
        <v>347669.23</v>
      </c>
      <c r="D83" s="249">
        <v>16224.56</v>
      </c>
      <c r="E83" s="250">
        <v>0.12</v>
      </c>
      <c r="F83" s="249">
        <v>231779.49</v>
      </c>
      <c r="H83" s="216"/>
      <c r="I83" s="230">
        <v>312902.31</v>
      </c>
      <c r="J83" s="230">
        <v>469353.46</v>
      </c>
      <c r="K83" s="230">
        <v>21903.16</v>
      </c>
      <c r="L83" s="217">
        <v>0.12</v>
      </c>
      <c r="M83" s="230">
        <v>312902.31</v>
      </c>
      <c r="N83" s="159"/>
      <c r="O83" s="163"/>
    </row>
    <row r="84" spans="1:15" ht="15.75" thickBot="1" x14ac:dyDescent="0.3">
      <c r="A84" s="216"/>
      <c r="B84" s="148">
        <v>347669.23</v>
      </c>
      <c r="C84" s="148">
        <v>463558.98</v>
      </c>
      <c r="D84" s="148">
        <v>30131.33</v>
      </c>
      <c r="E84" s="151">
        <v>0.15</v>
      </c>
      <c r="F84" s="148">
        <v>347669.23</v>
      </c>
      <c r="H84" s="216"/>
      <c r="I84" s="230">
        <v>469353.46</v>
      </c>
      <c r="J84" s="230">
        <v>625804.62</v>
      </c>
      <c r="K84" s="230">
        <v>40677.300000000003</v>
      </c>
      <c r="L84" s="217">
        <v>0.15</v>
      </c>
      <c r="M84" s="230">
        <v>469353.46</v>
      </c>
      <c r="N84" s="159"/>
    </row>
    <row r="85" spans="1:15" ht="15.75" thickBot="1" x14ac:dyDescent="0.3">
      <c r="A85" s="216"/>
      <c r="B85" s="148">
        <v>463558.98</v>
      </c>
      <c r="C85" s="148">
        <v>695338.45</v>
      </c>
      <c r="D85" s="148">
        <v>47514.8</v>
      </c>
      <c r="E85" s="151">
        <v>0.19</v>
      </c>
      <c r="F85" s="148">
        <v>463558.98</v>
      </c>
      <c r="H85" s="216"/>
      <c r="I85" s="230">
        <v>625804.62</v>
      </c>
      <c r="J85" s="230">
        <v>938706.91</v>
      </c>
      <c r="K85" s="230">
        <v>64144.97</v>
      </c>
      <c r="L85" s="217">
        <v>0.19</v>
      </c>
      <c r="M85" s="230">
        <v>625804.62</v>
      </c>
      <c r="N85" s="159"/>
    </row>
    <row r="86" spans="1:15" ht="15.75" thickBot="1" x14ac:dyDescent="0.3">
      <c r="A86" s="216"/>
      <c r="B86" s="148">
        <v>695338.45</v>
      </c>
      <c r="C86" s="148">
        <v>927117.93</v>
      </c>
      <c r="D86" s="148">
        <v>91552.9</v>
      </c>
      <c r="E86" s="151">
        <v>0.23</v>
      </c>
      <c r="F86" s="148">
        <v>695338.45</v>
      </c>
      <c r="H86" s="216"/>
      <c r="I86" s="230">
        <v>938706.91</v>
      </c>
      <c r="J86" s="230">
        <v>1251609.21</v>
      </c>
      <c r="K86" s="230">
        <v>123596.41</v>
      </c>
      <c r="L86" s="217">
        <v>0.23</v>
      </c>
      <c r="M86" s="230">
        <v>938706.91</v>
      </c>
      <c r="N86" s="159"/>
    </row>
    <row r="87" spans="1:15" ht="15.75" thickBot="1" x14ac:dyDescent="0.3">
      <c r="A87" s="216"/>
      <c r="B87" s="148">
        <v>927117.93</v>
      </c>
      <c r="C87" s="148">
        <v>1390676.9</v>
      </c>
      <c r="D87" s="148">
        <v>144862.18</v>
      </c>
      <c r="E87" s="151">
        <v>0.27</v>
      </c>
      <c r="F87" s="148">
        <v>927117.93</v>
      </c>
      <c r="H87" s="216"/>
      <c r="I87" s="230">
        <v>1251609.21</v>
      </c>
      <c r="J87" s="230">
        <v>1877413.82</v>
      </c>
      <c r="K87" s="230">
        <v>195563.94</v>
      </c>
      <c r="L87" s="217">
        <v>0.27</v>
      </c>
      <c r="M87" s="230">
        <v>1251609.21</v>
      </c>
      <c r="N87" s="159"/>
    </row>
    <row r="88" spans="1:15" ht="15.75" thickBot="1" x14ac:dyDescent="0.3">
      <c r="A88" s="216"/>
      <c r="B88" s="148">
        <v>1390676.9</v>
      </c>
      <c r="C88" s="148">
        <v>1854235.9</v>
      </c>
      <c r="D88" s="148">
        <v>270023.09999999998</v>
      </c>
      <c r="E88" s="151">
        <v>0.31</v>
      </c>
      <c r="F88" s="148">
        <v>1390676.9</v>
      </c>
      <c r="H88" s="216"/>
      <c r="I88" s="230">
        <v>1877413.82</v>
      </c>
      <c r="J88" s="230">
        <v>2503218.4700000002</v>
      </c>
      <c r="K88" s="230">
        <v>364531.18</v>
      </c>
      <c r="L88" s="217">
        <v>0.31</v>
      </c>
      <c r="M88" s="230">
        <v>1877413.82</v>
      </c>
      <c r="N88" s="159"/>
    </row>
    <row r="89" spans="1:15" ht="15.75" thickBot="1" x14ac:dyDescent="0.3">
      <c r="A89" s="218"/>
      <c r="B89" s="148">
        <v>1854235.9</v>
      </c>
      <c r="C89" s="152" t="s">
        <v>108</v>
      </c>
      <c r="D89" s="148">
        <v>413726.39</v>
      </c>
      <c r="E89" s="153">
        <v>0.35</v>
      </c>
      <c r="F89" s="148">
        <v>1854235.9</v>
      </c>
      <c r="H89" s="218"/>
      <c r="I89" s="230">
        <v>2503218.4700000002</v>
      </c>
      <c r="J89" s="219" t="s">
        <v>108</v>
      </c>
      <c r="K89" s="230">
        <v>558530.62</v>
      </c>
      <c r="L89" s="220">
        <v>0.35</v>
      </c>
      <c r="M89" s="230">
        <v>2503218.4700000002</v>
      </c>
      <c r="N89" s="159"/>
    </row>
    <row r="90" spans="1:15" ht="15.75" thickBot="1" x14ac:dyDescent="0.3">
      <c r="A90" s="221" t="s">
        <v>109</v>
      </c>
      <c r="B90" s="242">
        <v>0</v>
      </c>
      <c r="C90" s="243">
        <v>130375.96</v>
      </c>
      <c r="D90" s="242">
        <v>0</v>
      </c>
      <c r="E90" s="244">
        <v>0.05</v>
      </c>
      <c r="F90" s="245">
        <v>0</v>
      </c>
      <c r="H90" s="221" t="s">
        <v>109</v>
      </c>
      <c r="I90" s="229">
        <v>0</v>
      </c>
      <c r="J90" s="229">
        <v>176007.54</v>
      </c>
      <c r="K90" s="229">
        <v>0</v>
      </c>
      <c r="L90" s="222">
        <v>0.05</v>
      </c>
      <c r="M90" s="229">
        <v>0</v>
      </c>
      <c r="N90" s="159"/>
    </row>
    <row r="91" spans="1:15" ht="15.75" thickBot="1" x14ac:dyDescent="0.3">
      <c r="A91" s="223"/>
      <c r="B91" s="243">
        <v>130375.96</v>
      </c>
      <c r="C91" s="243">
        <v>260751.92</v>
      </c>
      <c r="D91" s="243">
        <v>6518.8</v>
      </c>
      <c r="E91" s="246">
        <v>0.09</v>
      </c>
      <c r="F91" s="243">
        <v>130375.96</v>
      </c>
      <c r="H91" s="223"/>
      <c r="I91" s="229">
        <v>176007.54</v>
      </c>
      <c r="J91" s="229">
        <v>352015.1</v>
      </c>
      <c r="K91" s="229">
        <v>8800.3799999999992</v>
      </c>
      <c r="L91" s="224">
        <v>0.09</v>
      </c>
      <c r="M91" s="229">
        <v>176007.54</v>
      </c>
      <c r="N91" s="159"/>
    </row>
    <row r="92" spans="1:15" ht="15.75" thickBot="1" x14ac:dyDescent="0.3">
      <c r="A92" s="223"/>
      <c r="B92" s="243">
        <v>260751.92</v>
      </c>
      <c r="C92" s="243">
        <v>391127.88</v>
      </c>
      <c r="D92" s="243">
        <v>18252.64</v>
      </c>
      <c r="E92" s="246">
        <v>0.12</v>
      </c>
      <c r="F92" s="243">
        <v>260751.92</v>
      </c>
      <c r="H92" s="223"/>
      <c r="I92" s="229">
        <v>352015.1</v>
      </c>
      <c r="J92" s="229">
        <v>528022.64</v>
      </c>
      <c r="K92" s="229">
        <v>24641.06</v>
      </c>
      <c r="L92" s="224">
        <v>0.12</v>
      </c>
      <c r="M92" s="229">
        <v>352015.1</v>
      </c>
      <c r="N92" s="159"/>
    </row>
    <row r="93" spans="1:15" ht="15.75" thickBot="1" x14ac:dyDescent="0.3">
      <c r="A93" s="223"/>
      <c r="B93" s="243">
        <v>391127.88</v>
      </c>
      <c r="C93" s="243">
        <v>521503.85</v>
      </c>
      <c r="D93" s="243">
        <v>33897.75</v>
      </c>
      <c r="E93" s="246">
        <v>0.15</v>
      </c>
      <c r="F93" s="243">
        <v>391127.88</v>
      </c>
      <c r="H93" s="223"/>
      <c r="I93" s="229">
        <v>528022.64</v>
      </c>
      <c r="J93" s="229">
        <v>704030.2</v>
      </c>
      <c r="K93" s="229">
        <v>45761.96</v>
      </c>
      <c r="L93" s="224">
        <v>0.15</v>
      </c>
      <c r="M93" s="229">
        <v>528022.64</v>
      </c>
      <c r="N93" s="159"/>
    </row>
    <row r="94" spans="1:15" ht="15.75" thickBot="1" x14ac:dyDescent="0.3">
      <c r="A94" s="223"/>
      <c r="B94" s="243">
        <v>521503.85</v>
      </c>
      <c r="C94" s="243">
        <v>782255.76</v>
      </c>
      <c r="D94" s="243">
        <v>53454.15</v>
      </c>
      <c r="E94" s="246">
        <v>0.19</v>
      </c>
      <c r="F94" s="243">
        <v>521503.85</v>
      </c>
      <c r="H94" s="223"/>
      <c r="I94" s="229">
        <v>704030.2</v>
      </c>
      <c r="J94" s="229">
        <v>1056045.28</v>
      </c>
      <c r="K94" s="229">
        <v>72163.100000000006</v>
      </c>
      <c r="L94" s="224">
        <v>0.19</v>
      </c>
      <c r="M94" s="229">
        <v>704030.2</v>
      </c>
      <c r="N94" s="159"/>
    </row>
    <row r="95" spans="1:15" ht="15.75" thickBot="1" x14ac:dyDescent="0.3">
      <c r="A95" s="223"/>
      <c r="B95" s="243">
        <v>782255.76</v>
      </c>
      <c r="C95" s="243">
        <v>1043007.67</v>
      </c>
      <c r="D95" s="243">
        <v>102997.01</v>
      </c>
      <c r="E95" s="246">
        <v>0.23</v>
      </c>
      <c r="F95" s="243">
        <v>782255.76</v>
      </c>
      <c r="H95" s="223"/>
      <c r="I95" s="229">
        <v>1056045.28</v>
      </c>
      <c r="J95" s="229">
        <v>1408060.36</v>
      </c>
      <c r="K95" s="229">
        <v>139045.96</v>
      </c>
      <c r="L95" s="224">
        <v>0.23</v>
      </c>
      <c r="M95" s="229">
        <v>1056045.28</v>
      </c>
      <c r="N95" s="159"/>
    </row>
    <row r="96" spans="1:15" ht="15.75" thickBot="1" x14ac:dyDescent="0.3">
      <c r="A96" s="223"/>
      <c r="B96" s="243">
        <v>1043007.67</v>
      </c>
      <c r="C96" s="243">
        <v>1564511.51</v>
      </c>
      <c r="D96" s="243">
        <v>162969.95000000001</v>
      </c>
      <c r="E96" s="246">
        <v>0.27</v>
      </c>
      <c r="F96" s="243">
        <v>1043007.67</v>
      </c>
      <c r="H96" s="223"/>
      <c r="I96" s="229">
        <v>1408060.36</v>
      </c>
      <c r="J96" s="229">
        <v>2112090.54</v>
      </c>
      <c r="K96" s="229">
        <v>220009.43</v>
      </c>
      <c r="L96" s="224">
        <v>0.27</v>
      </c>
      <c r="M96" s="229">
        <v>1408060.36</v>
      </c>
      <c r="N96" s="159"/>
    </row>
    <row r="97" spans="1:14" ht="15.75" thickBot="1" x14ac:dyDescent="0.3">
      <c r="A97" s="223"/>
      <c r="B97" s="243">
        <v>1564511.51</v>
      </c>
      <c r="C97" s="243">
        <v>2086015.39</v>
      </c>
      <c r="D97" s="243">
        <v>303775.98</v>
      </c>
      <c r="E97" s="246">
        <v>0.31</v>
      </c>
      <c r="F97" s="243">
        <v>1564511.51</v>
      </c>
      <c r="H97" s="223"/>
      <c r="I97" s="229">
        <v>2112090.54</v>
      </c>
      <c r="J97" s="229">
        <v>2816120.77</v>
      </c>
      <c r="K97" s="229">
        <v>410097.58</v>
      </c>
      <c r="L97" s="224">
        <v>0.31</v>
      </c>
      <c r="M97" s="229">
        <v>2112090.54</v>
      </c>
      <c r="N97" s="159"/>
    </row>
    <row r="98" spans="1:14" ht="15.75" thickBot="1" x14ac:dyDescent="0.3">
      <c r="A98" s="225"/>
      <c r="B98" s="243">
        <v>2086015.39</v>
      </c>
      <c r="C98" s="247" t="s">
        <v>108</v>
      </c>
      <c r="D98" s="243">
        <v>465442.19</v>
      </c>
      <c r="E98" s="248">
        <v>0.35</v>
      </c>
      <c r="F98" s="243">
        <v>2086015.39</v>
      </c>
      <c r="H98" s="225"/>
      <c r="I98" s="229">
        <v>2816120.77</v>
      </c>
      <c r="J98" s="226" t="s">
        <v>108</v>
      </c>
      <c r="K98" s="229">
        <v>628346.94999999995</v>
      </c>
      <c r="L98" s="227">
        <v>0.35</v>
      </c>
      <c r="M98" s="229">
        <v>2816120.77</v>
      </c>
      <c r="N98" s="159"/>
    </row>
    <row r="99" spans="1:14" ht="15.75" thickBot="1" x14ac:dyDescent="0.3">
      <c r="A99" s="214" t="s">
        <v>10</v>
      </c>
      <c r="B99" s="147">
        <v>0</v>
      </c>
      <c r="C99" s="148">
        <v>144862.17000000001</v>
      </c>
      <c r="D99" s="147">
        <v>0</v>
      </c>
      <c r="E99" s="149">
        <v>0.05</v>
      </c>
      <c r="F99" s="150">
        <v>0</v>
      </c>
      <c r="H99" s="214" t="s">
        <v>10</v>
      </c>
      <c r="I99" s="230">
        <v>0</v>
      </c>
      <c r="J99" s="230">
        <v>195563.94</v>
      </c>
      <c r="K99" s="230">
        <v>0</v>
      </c>
      <c r="L99" s="215">
        <v>0.05</v>
      </c>
      <c r="M99" s="230">
        <v>0</v>
      </c>
      <c r="N99" s="159"/>
    </row>
    <row r="100" spans="1:14" ht="15.75" thickBot="1" x14ac:dyDescent="0.3">
      <c r="A100" s="216"/>
      <c r="B100" s="148">
        <v>144862.17000000001</v>
      </c>
      <c r="C100" s="148">
        <v>289724.36</v>
      </c>
      <c r="D100" s="148">
        <v>7243.11</v>
      </c>
      <c r="E100" s="151">
        <v>0.09</v>
      </c>
      <c r="F100" s="148">
        <v>144862.17000000001</v>
      </c>
      <c r="H100" s="216"/>
      <c r="I100" s="230">
        <v>195563.94</v>
      </c>
      <c r="J100" s="230">
        <v>391127.88</v>
      </c>
      <c r="K100" s="230">
        <v>9778.2000000000007</v>
      </c>
      <c r="L100" s="217">
        <v>0.09</v>
      </c>
      <c r="M100" s="230">
        <v>195563.94</v>
      </c>
      <c r="N100" s="159"/>
    </row>
    <row r="101" spans="1:14" ht="15.75" thickBot="1" x14ac:dyDescent="0.3">
      <c r="A101" s="216"/>
      <c r="B101" s="148">
        <v>289724.36</v>
      </c>
      <c r="C101" s="148">
        <v>434586.53</v>
      </c>
      <c r="D101" s="148">
        <v>20280.71</v>
      </c>
      <c r="E101" s="151">
        <v>0.12</v>
      </c>
      <c r="F101" s="148">
        <v>289724.36</v>
      </c>
      <c r="H101" s="216"/>
      <c r="I101" s="230">
        <v>391127.88</v>
      </c>
      <c r="J101" s="230">
        <v>586691.81999999995</v>
      </c>
      <c r="K101" s="230">
        <v>27378.95</v>
      </c>
      <c r="L101" s="217">
        <v>0.12</v>
      </c>
      <c r="M101" s="230">
        <v>391127.88</v>
      </c>
      <c r="N101" s="159"/>
    </row>
    <row r="102" spans="1:14" ht="15.75" thickBot="1" x14ac:dyDescent="0.3">
      <c r="A102" s="216"/>
      <c r="B102" s="148">
        <v>434586.53</v>
      </c>
      <c r="C102" s="148">
        <v>579448.72</v>
      </c>
      <c r="D102" s="148">
        <v>37664.17</v>
      </c>
      <c r="E102" s="151">
        <v>0.15</v>
      </c>
      <c r="F102" s="148">
        <v>434586.53</v>
      </c>
      <c r="H102" s="216"/>
      <c r="I102" s="230">
        <v>586691.81999999995</v>
      </c>
      <c r="J102" s="230">
        <v>782255.78</v>
      </c>
      <c r="K102" s="230">
        <v>50846.62</v>
      </c>
      <c r="L102" s="217">
        <v>0.15</v>
      </c>
      <c r="M102" s="230">
        <v>586691.81999999995</v>
      </c>
      <c r="N102" s="159"/>
    </row>
    <row r="103" spans="1:14" ht="15.75" thickBot="1" x14ac:dyDescent="0.3">
      <c r="A103" s="216"/>
      <c r="B103" s="148">
        <v>579448.72</v>
      </c>
      <c r="C103" s="148">
        <v>869173.07</v>
      </c>
      <c r="D103" s="148">
        <v>59393.49</v>
      </c>
      <c r="E103" s="151">
        <v>0.19</v>
      </c>
      <c r="F103" s="148">
        <v>579448.72</v>
      </c>
      <c r="H103" s="216"/>
      <c r="I103" s="230">
        <v>782255.78</v>
      </c>
      <c r="J103" s="230">
        <v>1173383.6399999999</v>
      </c>
      <c r="K103" s="230">
        <v>80181.22</v>
      </c>
      <c r="L103" s="217">
        <v>0.19</v>
      </c>
      <c r="M103" s="230">
        <v>782255.78</v>
      </c>
      <c r="N103" s="159"/>
    </row>
    <row r="104" spans="1:14" ht="15.75" thickBot="1" x14ac:dyDescent="0.3">
      <c r="A104" s="216"/>
      <c r="B104" s="148">
        <v>869173.07</v>
      </c>
      <c r="C104" s="148">
        <v>1158897.4099999999</v>
      </c>
      <c r="D104" s="148">
        <v>114441.12</v>
      </c>
      <c r="E104" s="151">
        <v>0.23</v>
      </c>
      <c r="F104" s="148">
        <v>869173.07</v>
      </c>
      <c r="H104" s="216"/>
      <c r="I104" s="230">
        <v>1173383.6399999999</v>
      </c>
      <c r="J104" s="230">
        <v>1564511.51</v>
      </c>
      <c r="K104" s="230">
        <v>154495.51</v>
      </c>
      <c r="L104" s="217">
        <v>0.23</v>
      </c>
      <c r="M104" s="230">
        <v>1173383.6399999999</v>
      </c>
      <c r="N104" s="159"/>
    </row>
    <row r="105" spans="1:14" ht="15.75" thickBot="1" x14ac:dyDescent="0.3">
      <c r="A105" s="216"/>
      <c r="B105" s="148">
        <v>1158897.4099999999</v>
      </c>
      <c r="C105" s="148">
        <v>1738346.12</v>
      </c>
      <c r="D105" s="148">
        <v>181077.72</v>
      </c>
      <c r="E105" s="151">
        <v>0.27</v>
      </c>
      <c r="F105" s="148">
        <v>1158897.4099999999</v>
      </c>
      <c r="H105" s="216"/>
      <c r="I105" s="230">
        <v>1564511.51</v>
      </c>
      <c r="J105" s="230">
        <v>2346767.27</v>
      </c>
      <c r="K105" s="230">
        <v>244454.92</v>
      </c>
      <c r="L105" s="217">
        <v>0.27</v>
      </c>
      <c r="M105" s="230">
        <v>1564511.51</v>
      </c>
      <c r="N105" s="159"/>
    </row>
    <row r="106" spans="1:14" ht="15.75" thickBot="1" x14ac:dyDescent="0.3">
      <c r="A106" s="216"/>
      <c r="B106" s="148">
        <v>1738346.12</v>
      </c>
      <c r="C106" s="148">
        <v>2317794.87</v>
      </c>
      <c r="D106" s="148">
        <v>337528.87</v>
      </c>
      <c r="E106" s="151">
        <v>0.31</v>
      </c>
      <c r="F106" s="148">
        <v>1738346.12</v>
      </c>
      <c r="H106" s="216"/>
      <c r="I106" s="230">
        <v>2346767.27</v>
      </c>
      <c r="J106" s="230">
        <v>3129023.08</v>
      </c>
      <c r="K106" s="230">
        <v>455663.98</v>
      </c>
      <c r="L106" s="217">
        <v>0.31</v>
      </c>
      <c r="M106" s="230">
        <v>2346767.27</v>
      </c>
      <c r="N106" s="159"/>
    </row>
    <row r="107" spans="1:14" ht="15.75" thickBot="1" x14ac:dyDescent="0.3">
      <c r="A107" s="218"/>
      <c r="B107" s="148">
        <v>2317794.87</v>
      </c>
      <c r="C107" s="152" t="s">
        <v>108</v>
      </c>
      <c r="D107" s="148">
        <v>517157.98</v>
      </c>
      <c r="E107" s="153">
        <v>0.35</v>
      </c>
      <c r="F107" s="148">
        <v>2317794.87</v>
      </c>
      <c r="H107" s="218"/>
      <c r="I107" s="230">
        <v>3129023.08</v>
      </c>
      <c r="J107" s="219" t="s">
        <v>108</v>
      </c>
      <c r="K107" s="230">
        <v>698163.28</v>
      </c>
      <c r="L107" s="220">
        <v>0.35</v>
      </c>
      <c r="M107" s="230">
        <v>3129023.08</v>
      </c>
      <c r="N107" s="159"/>
    </row>
    <row r="108" spans="1:14" ht="15.75" thickBot="1" x14ac:dyDescent="0.3">
      <c r="A108" s="221" t="s">
        <v>11</v>
      </c>
      <c r="B108" s="242">
        <v>0</v>
      </c>
      <c r="C108" s="243">
        <v>159348.39000000001</v>
      </c>
      <c r="D108" s="242">
        <v>0</v>
      </c>
      <c r="E108" s="244">
        <v>0.05</v>
      </c>
      <c r="F108" s="245">
        <v>0</v>
      </c>
      <c r="H108" s="221" t="s">
        <v>11</v>
      </c>
      <c r="I108" s="229">
        <v>0</v>
      </c>
      <c r="J108" s="229">
        <v>215120.33</v>
      </c>
      <c r="K108" s="229">
        <v>0</v>
      </c>
      <c r="L108" s="222">
        <v>0.05</v>
      </c>
      <c r="M108" s="229">
        <v>0</v>
      </c>
      <c r="N108" s="159"/>
    </row>
    <row r="109" spans="1:14" ht="15.75" thickBot="1" x14ac:dyDescent="0.3">
      <c r="A109" s="223"/>
      <c r="B109" s="243">
        <v>159348.39000000001</v>
      </c>
      <c r="C109" s="243">
        <v>318696.8</v>
      </c>
      <c r="D109" s="243">
        <v>7967.42</v>
      </c>
      <c r="E109" s="246">
        <v>0.09</v>
      </c>
      <c r="F109" s="243">
        <v>159348.39000000001</v>
      </c>
      <c r="H109" s="223"/>
      <c r="I109" s="229">
        <v>215120.33</v>
      </c>
      <c r="J109" s="229">
        <v>430240.67</v>
      </c>
      <c r="K109" s="229">
        <v>10756.02</v>
      </c>
      <c r="L109" s="224">
        <v>0.09</v>
      </c>
      <c r="M109" s="229">
        <v>215120.33</v>
      </c>
      <c r="N109" s="159"/>
    </row>
    <row r="110" spans="1:14" ht="15.75" thickBot="1" x14ac:dyDescent="0.3">
      <c r="A110" s="223"/>
      <c r="B110" s="243">
        <v>318696.8</v>
      </c>
      <c r="C110" s="243">
        <v>478045.19</v>
      </c>
      <c r="D110" s="243">
        <v>22308.78</v>
      </c>
      <c r="E110" s="246">
        <v>0.12</v>
      </c>
      <c r="F110" s="243">
        <v>318696.8</v>
      </c>
      <c r="H110" s="223"/>
      <c r="I110" s="229">
        <v>430240.67</v>
      </c>
      <c r="J110" s="229">
        <v>645361</v>
      </c>
      <c r="K110" s="229">
        <v>30116.85</v>
      </c>
      <c r="L110" s="224">
        <v>0.12</v>
      </c>
      <c r="M110" s="229">
        <v>430240.67</v>
      </c>
      <c r="N110" s="159"/>
    </row>
    <row r="111" spans="1:14" ht="15.75" thickBot="1" x14ac:dyDescent="0.3">
      <c r="A111" s="223"/>
      <c r="B111" s="243">
        <v>478045.19</v>
      </c>
      <c r="C111" s="243">
        <v>637393.59</v>
      </c>
      <c r="D111" s="243">
        <v>41430.58</v>
      </c>
      <c r="E111" s="246">
        <v>0.15</v>
      </c>
      <c r="F111" s="243">
        <v>478045.19</v>
      </c>
      <c r="H111" s="223"/>
      <c r="I111" s="229">
        <v>645361</v>
      </c>
      <c r="J111" s="229">
        <v>860481.36</v>
      </c>
      <c r="K111" s="229">
        <v>55931.29</v>
      </c>
      <c r="L111" s="224">
        <v>0.15</v>
      </c>
      <c r="M111" s="229">
        <v>645361</v>
      </c>
      <c r="N111" s="159"/>
    </row>
    <row r="112" spans="1:14" ht="15.75" thickBot="1" x14ac:dyDescent="0.3">
      <c r="A112" s="223"/>
      <c r="B112" s="243">
        <v>637393.59</v>
      </c>
      <c r="C112" s="243">
        <v>956090.37</v>
      </c>
      <c r="D112" s="243">
        <v>65332.84</v>
      </c>
      <c r="E112" s="246">
        <v>0.19</v>
      </c>
      <c r="F112" s="243">
        <v>637393.59</v>
      </c>
      <c r="H112" s="223"/>
      <c r="I112" s="229">
        <v>860481.36</v>
      </c>
      <c r="J112" s="229">
        <v>1290722</v>
      </c>
      <c r="K112" s="229">
        <v>88199.34</v>
      </c>
      <c r="L112" s="224">
        <v>0.19</v>
      </c>
      <c r="M112" s="229">
        <v>860481.36</v>
      </c>
      <c r="N112" s="159"/>
    </row>
    <row r="113" spans="1:14" ht="15.75" thickBot="1" x14ac:dyDescent="0.3">
      <c r="A113" s="223"/>
      <c r="B113" s="243">
        <v>956090.37</v>
      </c>
      <c r="C113" s="243">
        <v>1274787.1599999999</v>
      </c>
      <c r="D113" s="243">
        <v>125885.23</v>
      </c>
      <c r="E113" s="246">
        <v>0.23</v>
      </c>
      <c r="F113" s="243">
        <v>956090.37</v>
      </c>
      <c r="H113" s="223"/>
      <c r="I113" s="229">
        <v>1290722</v>
      </c>
      <c r="J113" s="229">
        <v>1720962.66</v>
      </c>
      <c r="K113" s="229">
        <v>169945.06</v>
      </c>
      <c r="L113" s="224">
        <v>0.23</v>
      </c>
      <c r="M113" s="229">
        <v>1290722</v>
      </c>
      <c r="N113" s="159"/>
    </row>
    <row r="114" spans="1:14" ht="15.75" thickBot="1" x14ac:dyDescent="0.3">
      <c r="A114" s="223"/>
      <c r="B114" s="243">
        <v>1274787.1599999999</v>
      </c>
      <c r="C114" s="243">
        <v>1912180.73</v>
      </c>
      <c r="D114" s="243">
        <v>199185.49</v>
      </c>
      <c r="E114" s="246">
        <v>0.27</v>
      </c>
      <c r="F114" s="243">
        <v>1274787.1599999999</v>
      </c>
      <c r="H114" s="223"/>
      <c r="I114" s="229">
        <v>1720962.66</v>
      </c>
      <c r="J114" s="229">
        <v>2581444</v>
      </c>
      <c r="K114" s="229">
        <v>268900.40999999997</v>
      </c>
      <c r="L114" s="224">
        <v>0.27</v>
      </c>
      <c r="M114" s="229">
        <v>1720962.66</v>
      </c>
      <c r="N114" s="159"/>
    </row>
    <row r="115" spans="1:14" ht="15.75" thickBot="1" x14ac:dyDescent="0.3">
      <c r="A115" s="223"/>
      <c r="B115" s="243">
        <v>1912180.73</v>
      </c>
      <c r="C115" s="243">
        <v>2549574.36</v>
      </c>
      <c r="D115" s="243">
        <v>371281.76</v>
      </c>
      <c r="E115" s="246">
        <v>0.31</v>
      </c>
      <c r="F115" s="243">
        <v>1912180.73</v>
      </c>
      <c r="H115" s="223"/>
      <c r="I115" s="229">
        <v>2581444</v>
      </c>
      <c r="J115" s="229">
        <v>3441925.39</v>
      </c>
      <c r="K115" s="229">
        <v>501230.37</v>
      </c>
      <c r="L115" s="224">
        <v>0.31</v>
      </c>
      <c r="M115" s="229">
        <v>2581444</v>
      </c>
      <c r="N115" s="159"/>
    </row>
    <row r="116" spans="1:14" ht="15.75" thickBot="1" x14ac:dyDescent="0.3">
      <c r="A116" s="225"/>
      <c r="B116" s="243">
        <v>2549574.36</v>
      </c>
      <c r="C116" s="247" t="s">
        <v>108</v>
      </c>
      <c r="D116" s="243">
        <v>568873.78</v>
      </c>
      <c r="E116" s="248">
        <v>0.35</v>
      </c>
      <c r="F116" s="243">
        <v>2549574.36</v>
      </c>
      <c r="H116" s="225"/>
      <c r="I116" s="229">
        <v>3441925.39</v>
      </c>
      <c r="J116" s="226" t="s">
        <v>108</v>
      </c>
      <c r="K116" s="229">
        <v>767979.61</v>
      </c>
      <c r="L116" s="227">
        <v>0.35</v>
      </c>
      <c r="M116" s="229">
        <v>3441925.39</v>
      </c>
      <c r="N116" s="159"/>
    </row>
    <row r="117" spans="1:14" ht="15.75" thickBot="1" x14ac:dyDescent="0.3">
      <c r="A117" s="214" t="s">
        <v>12</v>
      </c>
      <c r="B117" s="147">
        <v>0</v>
      </c>
      <c r="C117" s="148">
        <v>173834.61</v>
      </c>
      <c r="D117" s="147">
        <v>0</v>
      </c>
      <c r="E117" s="149">
        <v>0.05</v>
      </c>
      <c r="F117" s="150">
        <v>0</v>
      </c>
      <c r="H117" s="214" t="s">
        <v>12</v>
      </c>
      <c r="I117" s="230">
        <v>0</v>
      </c>
      <c r="J117" s="230">
        <v>234676.72</v>
      </c>
      <c r="K117" s="230">
        <v>0</v>
      </c>
      <c r="L117" s="215">
        <v>0.05</v>
      </c>
      <c r="M117" s="230">
        <v>0</v>
      </c>
      <c r="N117" s="159"/>
    </row>
    <row r="118" spans="1:14" ht="15.75" thickBot="1" x14ac:dyDescent="0.3">
      <c r="A118" s="216"/>
      <c r="B118" s="148">
        <v>173834.61</v>
      </c>
      <c r="C118" s="148">
        <v>347669.23</v>
      </c>
      <c r="D118" s="148">
        <v>8691.73</v>
      </c>
      <c r="E118" s="151">
        <v>0.09</v>
      </c>
      <c r="F118" s="148">
        <v>173834.61</v>
      </c>
      <c r="H118" s="216"/>
      <c r="I118" s="230">
        <v>234676.72</v>
      </c>
      <c r="J118" s="230">
        <v>469353.46</v>
      </c>
      <c r="K118" s="230">
        <v>11733.84</v>
      </c>
      <c r="L118" s="217">
        <v>0.09</v>
      </c>
      <c r="M118" s="230">
        <v>234676.72</v>
      </c>
      <c r="N118" s="159"/>
    </row>
    <row r="119" spans="1:14" ht="15.75" thickBot="1" x14ac:dyDescent="0.3">
      <c r="A119" s="216"/>
      <c r="B119" s="148">
        <v>347669.23</v>
      </c>
      <c r="C119" s="148">
        <v>521503.84</v>
      </c>
      <c r="D119" s="148">
        <v>24336.85</v>
      </c>
      <c r="E119" s="151">
        <v>0.12</v>
      </c>
      <c r="F119" s="148">
        <v>347669.23</v>
      </c>
      <c r="H119" s="216"/>
      <c r="I119" s="230">
        <v>469353.46</v>
      </c>
      <c r="J119" s="230">
        <v>704030.18</v>
      </c>
      <c r="K119" s="230">
        <v>32854.74</v>
      </c>
      <c r="L119" s="217">
        <v>0.12</v>
      </c>
      <c r="M119" s="230">
        <v>469353.46</v>
      </c>
      <c r="N119" s="159"/>
    </row>
    <row r="120" spans="1:14" ht="15.75" thickBot="1" x14ac:dyDescent="0.3">
      <c r="A120" s="216"/>
      <c r="B120" s="148">
        <v>521503.84</v>
      </c>
      <c r="C120" s="148">
        <v>695338.47</v>
      </c>
      <c r="D120" s="148">
        <v>45197</v>
      </c>
      <c r="E120" s="151">
        <v>0.15</v>
      </c>
      <c r="F120" s="148">
        <v>521503.84</v>
      </c>
      <c r="H120" s="216"/>
      <c r="I120" s="230">
        <v>704030.18</v>
      </c>
      <c r="J120" s="230">
        <v>938706.93</v>
      </c>
      <c r="K120" s="230">
        <v>61015.95</v>
      </c>
      <c r="L120" s="217">
        <v>0.15</v>
      </c>
      <c r="M120" s="230">
        <v>704030.18</v>
      </c>
      <c r="N120" s="159"/>
    </row>
    <row r="121" spans="1:14" ht="15.75" thickBot="1" x14ac:dyDescent="0.3">
      <c r="A121" s="216"/>
      <c r="B121" s="148">
        <v>695338.47</v>
      </c>
      <c r="C121" s="148">
        <v>1043007.68</v>
      </c>
      <c r="D121" s="148">
        <v>71272.19</v>
      </c>
      <c r="E121" s="151">
        <v>0.19</v>
      </c>
      <c r="F121" s="148">
        <v>695338.47</v>
      </c>
      <c r="H121" s="216"/>
      <c r="I121" s="230">
        <v>938706.93</v>
      </c>
      <c r="J121" s="230">
        <v>1408060.37</v>
      </c>
      <c r="K121" s="230">
        <v>96217.46</v>
      </c>
      <c r="L121" s="217">
        <v>0.19</v>
      </c>
      <c r="M121" s="230">
        <v>938706.93</v>
      </c>
      <c r="N121" s="159"/>
    </row>
    <row r="122" spans="1:14" ht="15.75" thickBot="1" x14ac:dyDescent="0.3">
      <c r="A122" s="216"/>
      <c r="B122" s="148">
        <v>1043007.68</v>
      </c>
      <c r="C122" s="148">
        <v>1390676.9</v>
      </c>
      <c r="D122" s="148">
        <v>137329.34</v>
      </c>
      <c r="E122" s="151">
        <v>0.23</v>
      </c>
      <c r="F122" s="148">
        <v>1043007.68</v>
      </c>
      <c r="H122" s="216"/>
      <c r="I122" s="230">
        <v>1408060.37</v>
      </c>
      <c r="J122" s="230">
        <v>1877413.82</v>
      </c>
      <c r="K122" s="230">
        <v>185394.61</v>
      </c>
      <c r="L122" s="217">
        <v>0.23</v>
      </c>
      <c r="M122" s="230">
        <v>1408060.37</v>
      </c>
      <c r="N122" s="159"/>
    </row>
    <row r="123" spans="1:14" ht="15.75" thickBot="1" x14ac:dyDescent="0.3">
      <c r="A123" s="216"/>
      <c r="B123" s="148">
        <v>1390676.9</v>
      </c>
      <c r="C123" s="148">
        <v>2086015.35</v>
      </c>
      <c r="D123" s="148">
        <v>217293.26</v>
      </c>
      <c r="E123" s="151">
        <v>0.27</v>
      </c>
      <c r="F123" s="148">
        <v>1390676.9</v>
      </c>
      <c r="H123" s="216"/>
      <c r="I123" s="230">
        <v>1877413.82</v>
      </c>
      <c r="J123" s="230">
        <v>2816120.72</v>
      </c>
      <c r="K123" s="230">
        <v>293345.90999999997</v>
      </c>
      <c r="L123" s="217">
        <v>0.27</v>
      </c>
      <c r="M123" s="230">
        <v>1877413.82</v>
      </c>
      <c r="N123" s="159"/>
    </row>
    <row r="124" spans="1:14" ht="15.75" thickBot="1" x14ac:dyDescent="0.3">
      <c r="A124" s="216"/>
      <c r="B124" s="148">
        <v>2086015.35</v>
      </c>
      <c r="C124" s="148">
        <v>2781353.85</v>
      </c>
      <c r="D124" s="148">
        <v>405034.64</v>
      </c>
      <c r="E124" s="151">
        <v>0.31</v>
      </c>
      <c r="F124" s="148">
        <v>2086015.35</v>
      </c>
      <c r="H124" s="216"/>
      <c r="I124" s="230">
        <v>2816120.72</v>
      </c>
      <c r="J124" s="230">
        <v>3754827.7</v>
      </c>
      <c r="K124" s="230">
        <v>546796.77</v>
      </c>
      <c r="L124" s="217">
        <v>0.31</v>
      </c>
      <c r="M124" s="230">
        <v>2816120.72</v>
      </c>
      <c r="N124" s="159"/>
    </row>
    <row r="125" spans="1:14" ht="15.75" thickBot="1" x14ac:dyDescent="0.3">
      <c r="A125" s="218"/>
      <c r="B125" s="148">
        <v>2781353.85</v>
      </c>
      <c r="C125" s="152" t="s">
        <v>108</v>
      </c>
      <c r="D125" s="148">
        <v>620589.57999999996</v>
      </c>
      <c r="E125" s="153">
        <v>0.35</v>
      </c>
      <c r="F125" s="148">
        <v>2781353.85</v>
      </c>
      <c r="H125" s="218"/>
      <c r="I125" s="230">
        <v>3754827.7</v>
      </c>
      <c r="J125" s="219" t="s">
        <v>108</v>
      </c>
      <c r="K125" s="230">
        <v>837795.93</v>
      </c>
      <c r="L125" s="220">
        <v>0.35</v>
      </c>
      <c r="M125" s="230">
        <v>3754827.7</v>
      </c>
      <c r="N125" s="159"/>
    </row>
  </sheetData>
  <sheetProtection algorithmName="SHA-512" hashValue="5310ukVcOOY7t7CytuTJHh15dIG2KRIxP+FOadmnbIqGEnSed6lnpi35BWV/jps8KBJzoUattl0tSGb40uUdng==" saltValue="3Csyf+bMdmiH/U0mejNQ9g==" spinCount="100000" sheet="1" objects="1" scenarios="1"/>
  <mergeCells count="45">
    <mergeCell ref="H36:H44"/>
    <mergeCell ref="H45:H53"/>
    <mergeCell ref="H54:H62"/>
    <mergeCell ref="H108:H116"/>
    <mergeCell ref="H117:H125"/>
    <mergeCell ref="H63:H71"/>
    <mergeCell ref="H72:H80"/>
    <mergeCell ref="H81:H89"/>
    <mergeCell ref="H90:H98"/>
    <mergeCell ref="H99:H107"/>
    <mergeCell ref="H16:H17"/>
    <mergeCell ref="I16:J16"/>
    <mergeCell ref="K16:M16"/>
    <mergeCell ref="H18:H26"/>
    <mergeCell ref="H27:H35"/>
    <mergeCell ref="A45:A53"/>
    <mergeCell ref="A16:A17"/>
    <mergeCell ref="B16:C16"/>
    <mergeCell ref="D16:F16"/>
    <mergeCell ref="A90:A98"/>
    <mergeCell ref="A18:A26"/>
    <mergeCell ref="A27:A35"/>
    <mergeCell ref="A36:A44"/>
    <mergeCell ref="A99:A107"/>
    <mergeCell ref="A108:A116"/>
    <mergeCell ref="A117:A125"/>
    <mergeCell ref="A54:A62"/>
    <mergeCell ref="A63:A71"/>
    <mergeCell ref="A72:A80"/>
    <mergeCell ref="A81:A89"/>
    <mergeCell ref="A14:F14"/>
    <mergeCell ref="H14:M14"/>
    <mergeCell ref="A6:C6"/>
    <mergeCell ref="A1:C1"/>
    <mergeCell ref="D15:F15"/>
    <mergeCell ref="A2:C2"/>
    <mergeCell ref="A4:C4"/>
    <mergeCell ref="A15:C15"/>
    <mergeCell ref="A3:C3"/>
    <mergeCell ref="A7:C7"/>
    <mergeCell ref="A8:C8"/>
    <mergeCell ref="A9:C9"/>
    <mergeCell ref="A11:C11"/>
    <mergeCell ref="H15:J15"/>
    <mergeCell ref="K15:M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showGridLines="0" zoomScale="95" zoomScaleNormal="95" workbookViewId="0">
      <selection activeCell="E3" sqref="E3"/>
    </sheetView>
  </sheetViews>
  <sheetFormatPr baseColWidth="10" defaultColWidth="10.85546875" defaultRowHeight="15" x14ac:dyDescent="0.25"/>
  <cols>
    <col min="3" max="4" width="11.42578125" style="122"/>
  </cols>
  <sheetData>
    <row r="1" spans="1:11" x14ac:dyDescent="0.25">
      <c r="A1" s="3" t="s">
        <v>159</v>
      </c>
      <c r="B1" s="90"/>
      <c r="E1" s="251" t="s">
        <v>191</v>
      </c>
      <c r="F1" s="87"/>
      <c r="G1" s="87"/>
      <c r="I1" s="251" t="s">
        <v>190</v>
      </c>
      <c r="J1" s="87"/>
      <c r="K1" s="87"/>
    </row>
    <row r="2" spans="1:11" ht="36" x14ac:dyDescent="0.25">
      <c r="A2" s="49" t="s">
        <v>110</v>
      </c>
      <c r="B2" s="51" t="s">
        <v>111</v>
      </c>
      <c r="E2" s="252" t="s">
        <v>110</v>
      </c>
      <c r="F2" s="253" t="s">
        <v>111</v>
      </c>
      <c r="G2" s="254"/>
      <c r="I2" s="252" t="s">
        <v>110</v>
      </c>
      <c r="J2" s="253" t="s">
        <v>111</v>
      </c>
      <c r="K2" s="254"/>
    </row>
    <row r="3" spans="1:11" x14ac:dyDescent="0.25">
      <c r="A3" s="50">
        <v>404062</v>
      </c>
      <c r="B3" s="121"/>
      <c r="C3" s="123">
        <v>115775</v>
      </c>
      <c r="D3" s="122" t="s">
        <v>153</v>
      </c>
      <c r="E3" s="255">
        <v>506230</v>
      </c>
      <c r="F3" s="256"/>
      <c r="G3" s="257">
        <v>199645</v>
      </c>
      <c r="I3" s="255">
        <v>701316</v>
      </c>
      <c r="J3" s="256">
        <v>359613</v>
      </c>
      <c r="K3" s="257">
        <v>199645</v>
      </c>
    </row>
    <row r="4" spans="1:11" x14ac:dyDescent="0.25">
      <c r="A4" s="50">
        <v>404331</v>
      </c>
      <c r="B4" s="121">
        <v>115775</v>
      </c>
      <c r="C4" s="123">
        <v>114779</v>
      </c>
      <c r="D4" s="122" t="s">
        <v>153</v>
      </c>
      <c r="E4" s="255">
        <v>506568</v>
      </c>
      <c r="F4" s="256">
        <v>199645</v>
      </c>
      <c r="G4" s="257">
        <v>197921</v>
      </c>
      <c r="H4" t="s">
        <v>153</v>
      </c>
      <c r="I4" s="255">
        <v>701785</v>
      </c>
      <c r="J4" s="256">
        <v>356488</v>
      </c>
      <c r="K4" s="257">
        <v>197921</v>
      </c>
    </row>
    <row r="5" spans="1:11" x14ac:dyDescent="0.25">
      <c r="A5" s="50">
        <v>404601</v>
      </c>
      <c r="B5" s="121">
        <v>114779</v>
      </c>
      <c r="C5" s="123">
        <v>113865</v>
      </c>
      <c r="D5" s="122" t="s">
        <v>153</v>
      </c>
      <c r="E5" s="255">
        <v>506906</v>
      </c>
      <c r="F5" s="256">
        <v>197921</v>
      </c>
      <c r="G5" s="257">
        <v>196344</v>
      </c>
      <c r="H5" t="s">
        <v>153</v>
      </c>
      <c r="I5" s="255">
        <v>702253</v>
      </c>
      <c r="J5" s="256">
        <v>353639</v>
      </c>
      <c r="K5" s="257">
        <v>196344</v>
      </c>
    </row>
    <row r="6" spans="1:11" x14ac:dyDescent="0.25">
      <c r="A6" s="50">
        <v>404871</v>
      </c>
      <c r="B6" s="121">
        <v>113865</v>
      </c>
      <c r="C6" s="123">
        <v>113003</v>
      </c>
      <c r="D6" s="122" t="s">
        <v>153</v>
      </c>
      <c r="E6" s="255">
        <v>507244</v>
      </c>
      <c r="F6" s="256">
        <v>196344</v>
      </c>
      <c r="G6" s="257">
        <v>194867</v>
      </c>
      <c r="H6" t="s">
        <v>153</v>
      </c>
      <c r="I6" s="255">
        <v>702718</v>
      </c>
      <c r="J6" s="256">
        <v>350973</v>
      </c>
      <c r="K6" s="257">
        <v>194867</v>
      </c>
    </row>
    <row r="7" spans="1:11" x14ac:dyDescent="0.25">
      <c r="A7" s="50">
        <v>405139</v>
      </c>
      <c r="B7" s="121">
        <v>113003</v>
      </c>
      <c r="C7" s="123">
        <v>112178</v>
      </c>
      <c r="D7" s="122" t="s">
        <v>153</v>
      </c>
      <c r="E7" s="255">
        <v>507580</v>
      </c>
      <c r="F7" s="256">
        <v>194867</v>
      </c>
      <c r="G7" s="257">
        <v>193441</v>
      </c>
      <c r="H7" t="s">
        <v>153</v>
      </c>
      <c r="I7" s="255">
        <v>703186</v>
      </c>
      <c r="J7" s="256">
        <v>348400</v>
      </c>
      <c r="K7" s="257">
        <v>193441</v>
      </c>
    </row>
    <row r="8" spans="1:11" x14ac:dyDescent="0.25">
      <c r="A8" s="50">
        <v>405409</v>
      </c>
      <c r="B8" s="121">
        <v>112178</v>
      </c>
      <c r="C8" s="123">
        <v>111381</v>
      </c>
      <c r="D8" s="122" t="s">
        <v>153</v>
      </c>
      <c r="E8" s="255">
        <v>507918</v>
      </c>
      <c r="F8" s="256">
        <v>193441</v>
      </c>
      <c r="G8" s="257">
        <v>192064</v>
      </c>
      <c r="H8" t="s">
        <v>153</v>
      </c>
      <c r="I8" s="255">
        <v>703655</v>
      </c>
      <c r="J8" s="256">
        <v>345916</v>
      </c>
      <c r="K8" s="257">
        <v>192064</v>
      </c>
    </row>
    <row r="9" spans="1:11" x14ac:dyDescent="0.25">
      <c r="A9" s="50">
        <v>405679</v>
      </c>
      <c r="B9" s="121">
        <v>111381</v>
      </c>
      <c r="C9" s="123">
        <v>110608</v>
      </c>
      <c r="D9" s="122" t="s">
        <v>153</v>
      </c>
      <c r="E9" s="255">
        <v>508256</v>
      </c>
      <c r="F9" s="256">
        <v>192064</v>
      </c>
      <c r="G9" s="257">
        <v>190735</v>
      </c>
      <c r="H9" t="s">
        <v>153</v>
      </c>
      <c r="I9" s="255">
        <v>704119</v>
      </c>
      <c r="J9" s="256">
        <v>343520</v>
      </c>
      <c r="K9" s="257">
        <v>190735</v>
      </c>
    </row>
    <row r="10" spans="1:11" x14ac:dyDescent="0.25">
      <c r="A10" s="50">
        <v>405947</v>
      </c>
      <c r="B10" s="121">
        <v>110608</v>
      </c>
      <c r="C10" s="123">
        <v>109852</v>
      </c>
      <c r="D10" s="122" t="s">
        <v>153</v>
      </c>
      <c r="E10" s="255">
        <v>508592</v>
      </c>
      <c r="F10" s="256">
        <v>190735</v>
      </c>
      <c r="G10" s="257">
        <v>189428</v>
      </c>
      <c r="H10" t="s">
        <v>153</v>
      </c>
      <c r="I10" s="255">
        <v>704588</v>
      </c>
      <c r="J10" s="256">
        <v>341164</v>
      </c>
      <c r="K10" s="257">
        <v>189428</v>
      </c>
    </row>
    <row r="11" spans="1:11" x14ac:dyDescent="0.25">
      <c r="A11" s="50">
        <v>406217</v>
      </c>
      <c r="B11" s="121">
        <v>109852</v>
      </c>
      <c r="C11" s="123">
        <v>109109</v>
      </c>
      <c r="D11" s="122" t="s">
        <v>153</v>
      </c>
      <c r="E11" s="255">
        <v>508930</v>
      </c>
      <c r="F11" s="256">
        <v>189428</v>
      </c>
      <c r="G11" s="257">
        <v>188153</v>
      </c>
      <c r="H11" t="s">
        <v>153</v>
      </c>
      <c r="I11" s="255">
        <v>705054</v>
      </c>
      <c r="J11" s="256">
        <v>338868</v>
      </c>
      <c r="K11" s="257">
        <v>188153</v>
      </c>
    </row>
    <row r="12" spans="1:11" x14ac:dyDescent="0.25">
      <c r="A12" s="50">
        <v>406486</v>
      </c>
      <c r="B12" s="121">
        <v>109109</v>
      </c>
      <c r="C12" s="123">
        <v>108385</v>
      </c>
      <c r="D12" s="122" t="s">
        <v>153</v>
      </c>
      <c r="E12" s="255">
        <v>509267</v>
      </c>
      <c r="F12" s="256">
        <v>188153</v>
      </c>
      <c r="G12" s="257">
        <v>186898</v>
      </c>
      <c r="H12" t="s">
        <v>153</v>
      </c>
      <c r="I12" s="255">
        <v>705523</v>
      </c>
      <c r="J12" s="256">
        <v>336606</v>
      </c>
      <c r="K12" s="257">
        <v>186898</v>
      </c>
    </row>
    <row r="13" spans="1:11" x14ac:dyDescent="0.25">
      <c r="A13" s="50">
        <v>406756</v>
      </c>
      <c r="B13" s="121">
        <v>108385</v>
      </c>
      <c r="C13" s="123">
        <v>107672</v>
      </c>
      <c r="D13" s="122" t="s">
        <v>153</v>
      </c>
      <c r="E13" s="255">
        <v>509606</v>
      </c>
      <c r="F13" s="256">
        <v>186898</v>
      </c>
      <c r="G13" s="257">
        <v>185664</v>
      </c>
      <c r="H13" t="s">
        <v>153</v>
      </c>
      <c r="I13" s="255">
        <v>705991</v>
      </c>
      <c r="J13" s="256">
        <v>334382</v>
      </c>
      <c r="K13" s="257">
        <v>185664</v>
      </c>
    </row>
    <row r="14" spans="1:11" x14ac:dyDescent="0.25">
      <c r="A14" s="50">
        <v>407026</v>
      </c>
      <c r="B14" s="121">
        <v>107672</v>
      </c>
      <c r="C14" s="123">
        <v>106969</v>
      </c>
      <c r="D14" s="122" t="s">
        <v>153</v>
      </c>
      <c r="E14" s="255">
        <v>509944</v>
      </c>
      <c r="F14" s="256">
        <v>185664</v>
      </c>
      <c r="G14" s="257">
        <v>184458</v>
      </c>
      <c r="H14" t="s">
        <v>153</v>
      </c>
      <c r="I14" s="255">
        <v>706456</v>
      </c>
      <c r="J14" s="256">
        <v>332209</v>
      </c>
      <c r="K14" s="257">
        <v>184458</v>
      </c>
    </row>
    <row r="15" spans="1:11" x14ac:dyDescent="0.25">
      <c r="A15" s="50">
        <v>407294</v>
      </c>
      <c r="B15" s="121">
        <v>106969</v>
      </c>
      <c r="C15" s="123">
        <v>106273</v>
      </c>
      <c r="D15" s="122" t="s">
        <v>153</v>
      </c>
      <c r="E15" s="255">
        <v>510280</v>
      </c>
      <c r="F15" s="256">
        <v>184458</v>
      </c>
      <c r="G15" s="257">
        <v>183260</v>
      </c>
      <c r="H15" t="s">
        <v>153</v>
      </c>
      <c r="I15" s="255">
        <v>706924</v>
      </c>
      <c r="J15" s="256">
        <v>330051</v>
      </c>
      <c r="K15" s="257">
        <v>183260</v>
      </c>
    </row>
    <row r="16" spans="1:11" x14ac:dyDescent="0.25">
      <c r="A16" s="50">
        <v>407564</v>
      </c>
      <c r="B16" s="121">
        <v>106273</v>
      </c>
      <c r="C16" s="123">
        <v>105592</v>
      </c>
      <c r="D16" s="122" t="s">
        <v>153</v>
      </c>
      <c r="E16" s="255">
        <v>510618</v>
      </c>
      <c r="F16" s="256">
        <v>183260</v>
      </c>
      <c r="G16" s="257">
        <v>182078</v>
      </c>
      <c r="H16" t="s">
        <v>153</v>
      </c>
      <c r="I16" s="255">
        <v>707392</v>
      </c>
      <c r="J16" s="256">
        <v>327921</v>
      </c>
      <c r="K16" s="257">
        <v>182078</v>
      </c>
    </row>
    <row r="17" spans="1:11" x14ac:dyDescent="0.25">
      <c r="A17" s="50">
        <v>407834</v>
      </c>
      <c r="B17" s="121">
        <v>105592</v>
      </c>
      <c r="C17" s="123">
        <v>104916</v>
      </c>
      <c r="D17" s="122" t="s">
        <v>153</v>
      </c>
      <c r="E17" s="255">
        <v>510956</v>
      </c>
      <c r="F17" s="256">
        <v>182078</v>
      </c>
      <c r="G17" s="257">
        <v>180918</v>
      </c>
      <c r="H17" t="s">
        <v>153</v>
      </c>
      <c r="I17" s="255">
        <v>707857</v>
      </c>
      <c r="J17" s="256">
        <v>325832</v>
      </c>
      <c r="K17" s="257">
        <v>180918</v>
      </c>
    </row>
    <row r="18" spans="1:11" x14ac:dyDescent="0.25">
      <c r="A18" s="50">
        <v>408102</v>
      </c>
      <c r="B18" s="121">
        <v>104916</v>
      </c>
      <c r="C18" s="123">
        <v>104249</v>
      </c>
      <c r="D18" s="122" t="s">
        <v>153</v>
      </c>
      <c r="E18" s="255">
        <v>511292</v>
      </c>
      <c r="F18" s="256">
        <v>180918</v>
      </c>
      <c r="G18" s="257">
        <v>179763</v>
      </c>
      <c r="H18" t="s">
        <v>153</v>
      </c>
      <c r="I18" s="255">
        <v>708326</v>
      </c>
      <c r="J18" s="256">
        <v>323751</v>
      </c>
      <c r="K18" s="257">
        <v>179763</v>
      </c>
    </row>
    <row r="19" spans="1:11" x14ac:dyDescent="0.25">
      <c r="A19" s="50">
        <v>408372</v>
      </c>
      <c r="B19" s="121">
        <v>104249</v>
      </c>
      <c r="C19" s="123">
        <v>103585</v>
      </c>
      <c r="D19" s="122" t="s">
        <v>153</v>
      </c>
      <c r="E19" s="255">
        <v>511630</v>
      </c>
      <c r="F19" s="256">
        <v>179763</v>
      </c>
      <c r="G19" s="257">
        <v>178625</v>
      </c>
      <c r="H19" t="s">
        <v>153</v>
      </c>
      <c r="I19" s="255">
        <v>708792</v>
      </c>
      <c r="J19" s="256">
        <v>321701</v>
      </c>
      <c r="K19" s="257">
        <v>178625</v>
      </c>
    </row>
    <row r="20" spans="1:11" x14ac:dyDescent="0.25">
      <c r="A20" s="50">
        <v>408641</v>
      </c>
      <c r="B20" s="121">
        <v>103585</v>
      </c>
      <c r="C20" s="123">
        <v>102931</v>
      </c>
      <c r="D20" s="122" t="s">
        <v>153</v>
      </c>
      <c r="E20" s="255">
        <v>511967</v>
      </c>
      <c r="F20" s="256">
        <v>178625</v>
      </c>
      <c r="G20" s="257">
        <v>177494</v>
      </c>
      <c r="H20" t="s">
        <v>153</v>
      </c>
      <c r="I20" s="255">
        <v>709261</v>
      </c>
      <c r="J20" s="256">
        <v>319663</v>
      </c>
      <c r="K20" s="257">
        <v>177494</v>
      </c>
    </row>
    <row r="21" spans="1:11" x14ac:dyDescent="0.25">
      <c r="A21" s="50">
        <v>408911</v>
      </c>
      <c r="B21" s="121">
        <v>102931</v>
      </c>
      <c r="C21" s="123">
        <v>102281</v>
      </c>
      <c r="D21" s="122" t="s">
        <v>153</v>
      </c>
      <c r="E21" s="255">
        <v>512306</v>
      </c>
      <c r="F21" s="256">
        <v>177494</v>
      </c>
      <c r="G21" s="257">
        <v>176373</v>
      </c>
      <c r="H21" t="s">
        <v>153</v>
      </c>
      <c r="I21" s="255">
        <v>709729</v>
      </c>
      <c r="J21" s="256">
        <v>317644</v>
      </c>
      <c r="K21" s="257">
        <v>176373</v>
      </c>
    </row>
    <row r="22" spans="1:11" x14ac:dyDescent="0.25">
      <c r="A22" s="50">
        <v>409181</v>
      </c>
      <c r="B22" s="121">
        <v>102281</v>
      </c>
      <c r="C22" s="123">
        <v>101641</v>
      </c>
      <c r="D22" s="122" t="s">
        <v>153</v>
      </c>
      <c r="E22" s="255">
        <v>512644</v>
      </c>
      <c r="F22" s="256">
        <v>176373</v>
      </c>
      <c r="G22" s="257">
        <v>175271</v>
      </c>
      <c r="H22" t="s">
        <v>153</v>
      </c>
      <c r="I22" s="255">
        <v>710194</v>
      </c>
      <c r="J22" s="256">
        <v>315659</v>
      </c>
      <c r="K22" s="257">
        <v>175271</v>
      </c>
    </row>
    <row r="23" spans="1:11" x14ac:dyDescent="0.25">
      <c r="A23" s="50">
        <v>409449</v>
      </c>
      <c r="B23" s="121">
        <v>101641</v>
      </c>
      <c r="C23" s="123">
        <v>101003</v>
      </c>
      <c r="D23" s="122" t="s">
        <v>153</v>
      </c>
      <c r="E23" s="255">
        <v>512980</v>
      </c>
      <c r="F23" s="256">
        <v>175271</v>
      </c>
      <c r="G23" s="257">
        <v>174169</v>
      </c>
      <c r="H23" t="s">
        <v>153</v>
      </c>
      <c r="I23" s="255">
        <v>710662</v>
      </c>
      <c r="J23" s="256">
        <v>313675</v>
      </c>
      <c r="K23" s="257">
        <v>174169</v>
      </c>
    </row>
    <row r="24" spans="1:11" x14ac:dyDescent="0.25">
      <c r="A24" s="50">
        <v>409719</v>
      </c>
      <c r="B24" s="121">
        <v>101003</v>
      </c>
      <c r="C24" s="123">
        <v>100371</v>
      </c>
      <c r="D24" s="122" t="s">
        <v>153</v>
      </c>
      <c r="E24" s="255">
        <v>513318</v>
      </c>
      <c r="F24" s="256">
        <v>174169</v>
      </c>
      <c r="G24" s="257">
        <v>173077</v>
      </c>
      <c r="H24" t="s">
        <v>153</v>
      </c>
      <c r="I24" s="255">
        <v>711130</v>
      </c>
      <c r="J24" s="256">
        <v>311708</v>
      </c>
      <c r="K24" s="257">
        <v>173077</v>
      </c>
    </row>
    <row r="25" spans="1:11" x14ac:dyDescent="0.25">
      <c r="A25" s="50">
        <v>409989</v>
      </c>
      <c r="B25" s="121">
        <v>100371</v>
      </c>
      <c r="C25" s="123">
        <v>99744</v>
      </c>
      <c r="D25" s="122" t="s">
        <v>153</v>
      </c>
      <c r="E25" s="255">
        <v>513656</v>
      </c>
      <c r="F25" s="256">
        <v>173077</v>
      </c>
      <c r="G25" s="257">
        <v>172001</v>
      </c>
      <c r="H25" t="s">
        <v>153</v>
      </c>
      <c r="I25" s="255">
        <v>711595</v>
      </c>
      <c r="J25" s="256">
        <v>309770</v>
      </c>
      <c r="K25" s="257">
        <v>172001</v>
      </c>
    </row>
    <row r="26" spans="1:11" x14ac:dyDescent="0.25">
      <c r="A26" s="50">
        <v>410257</v>
      </c>
      <c r="B26" s="121">
        <v>99744</v>
      </c>
      <c r="C26" s="123">
        <v>99121</v>
      </c>
      <c r="D26" s="122" t="s">
        <v>153</v>
      </c>
      <c r="E26" s="255">
        <v>513992</v>
      </c>
      <c r="F26" s="256">
        <v>172001</v>
      </c>
      <c r="G26" s="257">
        <v>170925</v>
      </c>
      <c r="H26" t="s">
        <v>153</v>
      </c>
      <c r="I26" s="255">
        <v>712064</v>
      </c>
      <c r="J26" s="256">
        <v>307832</v>
      </c>
      <c r="K26" s="257">
        <v>170925</v>
      </c>
    </row>
    <row r="27" spans="1:11" x14ac:dyDescent="0.25">
      <c r="A27" s="50">
        <v>410527</v>
      </c>
      <c r="B27" s="121">
        <v>99121</v>
      </c>
      <c r="C27" s="123">
        <v>98502</v>
      </c>
      <c r="D27" s="122" t="s">
        <v>153</v>
      </c>
      <c r="E27" s="255">
        <v>514330</v>
      </c>
      <c r="F27" s="256">
        <v>170925</v>
      </c>
      <c r="G27" s="257">
        <v>169860</v>
      </c>
      <c r="H27" t="s">
        <v>153</v>
      </c>
      <c r="I27" s="255">
        <v>712530</v>
      </c>
      <c r="J27" s="256">
        <v>305915</v>
      </c>
      <c r="K27" s="257">
        <v>169860</v>
      </c>
    </row>
    <row r="28" spans="1:11" x14ac:dyDescent="0.25">
      <c r="A28" s="50">
        <v>410796</v>
      </c>
      <c r="B28" s="121">
        <v>98502</v>
      </c>
      <c r="C28" s="123">
        <v>97887</v>
      </c>
      <c r="D28" s="122" t="s">
        <v>153</v>
      </c>
      <c r="E28" s="255">
        <v>514667</v>
      </c>
      <c r="F28" s="256">
        <v>169860</v>
      </c>
      <c r="G28" s="257">
        <v>168799</v>
      </c>
      <c r="H28" t="s">
        <v>153</v>
      </c>
      <c r="I28" s="255">
        <v>712998</v>
      </c>
      <c r="J28" s="256">
        <v>304003</v>
      </c>
      <c r="K28" s="257">
        <v>168799</v>
      </c>
    </row>
    <row r="29" spans="1:11" x14ac:dyDescent="0.25">
      <c r="A29" s="50">
        <v>411066</v>
      </c>
      <c r="B29" s="121">
        <v>97887</v>
      </c>
      <c r="C29" s="123">
        <v>97279</v>
      </c>
      <c r="D29" s="122" t="s">
        <v>153</v>
      </c>
      <c r="E29" s="255">
        <v>515006</v>
      </c>
      <c r="F29" s="256">
        <v>168799</v>
      </c>
      <c r="G29" s="257">
        <v>167745</v>
      </c>
      <c r="H29" t="s">
        <v>153</v>
      </c>
      <c r="I29" s="255">
        <v>713467</v>
      </c>
      <c r="J29" s="256">
        <v>302105</v>
      </c>
      <c r="K29" s="257">
        <v>167745</v>
      </c>
    </row>
    <row r="30" spans="1:11" x14ac:dyDescent="0.25">
      <c r="A30" s="50">
        <v>411336</v>
      </c>
      <c r="B30" s="121">
        <v>97279</v>
      </c>
      <c r="C30" s="123">
        <v>96673</v>
      </c>
      <c r="D30" s="122" t="s">
        <v>153</v>
      </c>
      <c r="E30" s="255">
        <v>515344</v>
      </c>
      <c r="F30" s="256">
        <v>167745</v>
      </c>
      <c r="G30" s="257">
        <v>166705</v>
      </c>
      <c r="H30" t="s">
        <v>153</v>
      </c>
      <c r="I30" s="255">
        <v>713932</v>
      </c>
      <c r="J30" s="256">
        <v>300232</v>
      </c>
      <c r="K30" s="257">
        <v>166705</v>
      </c>
    </row>
    <row r="31" spans="1:11" x14ac:dyDescent="0.25">
      <c r="A31" s="50">
        <v>411604</v>
      </c>
      <c r="B31" s="121">
        <v>96673</v>
      </c>
      <c r="C31" s="123">
        <v>96070</v>
      </c>
      <c r="D31" s="122" t="s">
        <v>153</v>
      </c>
      <c r="E31" s="255">
        <v>515680</v>
      </c>
      <c r="F31" s="256">
        <v>166705</v>
      </c>
      <c r="G31" s="257">
        <v>165664</v>
      </c>
      <c r="H31" t="s">
        <v>153</v>
      </c>
      <c r="I31" s="255">
        <v>714400</v>
      </c>
      <c r="J31" s="256">
        <v>298357</v>
      </c>
      <c r="K31" s="257">
        <v>165664</v>
      </c>
    </row>
    <row r="32" spans="1:11" x14ac:dyDescent="0.25">
      <c r="A32" s="50">
        <v>411874</v>
      </c>
      <c r="B32" s="121">
        <v>96070</v>
      </c>
      <c r="C32" s="123">
        <v>95471</v>
      </c>
      <c r="D32" s="122" t="s">
        <v>153</v>
      </c>
      <c r="E32" s="255">
        <v>516018</v>
      </c>
      <c r="F32" s="256">
        <v>165664</v>
      </c>
      <c r="G32" s="257">
        <v>164629</v>
      </c>
      <c r="H32" t="s">
        <v>153</v>
      </c>
      <c r="I32" s="255">
        <v>714868</v>
      </c>
      <c r="J32" s="256">
        <v>296493</v>
      </c>
      <c r="K32" s="257">
        <v>164629</v>
      </c>
    </row>
    <row r="33" spans="1:11" x14ac:dyDescent="0.25">
      <c r="A33" s="50">
        <v>412144</v>
      </c>
      <c r="B33" s="121">
        <v>95471</v>
      </c>
      <c r="C33" s="123">
        <v>94876</v>
      </c>
      <c r="D33" s="122" t="s">
        <v>153</v>
      </c>
      <c r="E33" s="255">
        <v>516356</v>
      </c>
      <c r="F33" s="256">
        <v>164629</v>
      </c>
      <c r="G33" s="257">
        <v>163607</v>
      </c>
      <c r="H33" t="s">
        <v>153</v>
      </c>
      <c r="I33" s="255">
        <v>715333</v>
      </c>
      <c r="J33" s="256">
        <v>294653</v>
      </c>
      <c r="K33" s="257">
        <v>163607</v>
      </c>
    </row>
    <row r="34" spans="1:11" x14ac:dyDescent="0.25">
      <c r="A34" s="50">
        <v>412412</v>
      </c>
      <c r="B34" s="121">
        <v>94876</v>
      </c>
      <c r="C34" s="123">
        <v>94284</v>
      </c>
      <c r="D34" s="122" t="s">
        <v>153</v>
      </c>
      <c r="E34" s="255">
        <v>516692</v>
      </c>
      <c r="F34" s="256">
        <v>163607</v>
      </c>
      <c r="G34" s="257">
        <v>162583</v>
      </c>
      <c r="H34" t="s">
        <v>153</v>
      </c>
      <c r="I34" s="255">
        <v>715801</v>
      </c>
      <c r="J34" s="256">
        <v>292809</v>
      </c>
      <c r="K34" s="257">
        <v>162583</v>
      </c>
    </row>
    <row r="35" spans="1:11" x14ac:dyDescent="0.25">
      <c r="A35" s="50">
        <v>412682</v>
      </c>
      <c r="B35" s="121">
        <v>94284</v>
      </c>
      <c r="C35" s="123">
        <v>93693</v>
      </c>
      <c r="D35" s="122" t="s">
        <v>153</v>
      </c>
      <c r="E35" s="255">
        <v>517030</v>
      </c>
      <c r="F35" s="256">
        <v>162583</v>
      </c>
      <c r="G35" s="257">
        <v>161569</v>
      </c>
      <c r="H35" t="s">
        <v>153</v>
      </c>
      <c r="I35" s="255">
        <v>716268</v>
      </c>
      <c r="J35" s="256">
        <v>290982</v>
      </c>
      <c r="K35" s="257">
        <v>161569</v>
      </c>
    </row>
    <row r="36" spans="1:11" x14ac:dyDescent="0.25">
      <c r="A36" s="50">
        <v>412951</v>
      </c>
      <c r="B36" s="121">
        <v>93693</v>
      </c>
      <c r="C36" s="123">
        <v>93109</v>
      </c>
      <c r="D36" s="122" t="s">
        <v>153</v>
      </c>
      <c r="E36" s="255">
        <v>517367</v>
      </c>
      <c r="F36" s="256">
        <v>161569</v>
      </c>
      <c r="G36" s="257">
        <v>160555</v>
      </c>
      <c r="H36" t="s">
        <v>153</v>
      </c>
      <c r="I36" s="255">
        <v>716736</v>
      </c>
      <c r="J36" s="256">
        <v>289158</v>
      </c>
      <c r="K36" s="257">
        <v>160555</v>
      </c>
    </row>
    <row r="37" spans="1:11" x14ac:dyDescent="0.25">
      <c r="A37" s="50">
        <v>413221</v>
      </c>
      <c r="B37" s="121">
        <v>93109</v>
      </c>
      <c r="C37" s="123">
        <v>92526</v>
      </c>
      <c r="D37" s="122" t="s">
        <v>153</v>
      </c>
      <c r="E37" s="255">
        <v>517705</v>
      </c>
      <c r="F37" s="256">
        <v>160555</v>
      </c>
      <c r="G37" s="257">
        <v>159547</v>
      </c>
      <c r="H37" t="s">
        <v>153</v>
      </c>
      <c r="I37" s="255">
        <v>717205</v>
      </c>
      <c r="J37" s="256">
        <v>287342</v>
      </c>
      <c r="K37" s="257">
        <v>159547</v>
      </c>
    </row>
    <row r="38" spans="1:11" x14ac:dyDescent="0.25">
      <c r="A38" s="50">
        <v>413491</v>
      </c>
      <c r="B38" s="121">
        <v>92526</v>
      </c>
      <c r="C38" s="123">
        <v>91946</v>
      </c>
      <c r="D38" s="122" t="s">
        <v>153</v>
      </c>
      <c r="E38" s="255">
        <v>518044</v>
      </c>
      <c r="F38" s="256">
        <v>159547</v>
      </c>
      <c r="G38" s="257">
        <v>158552</v>
      </c>
      <c r="H38" t="s">
        <v>153</v>
      </c>
      <c r="I38" s="255">
        <v>717669</v>
      </c>
      <c r="J38" s="256">
        <v>285549</v>
      </c>
      <c r="K38" s="257">
        <v>158552</v>
      </c>
    </row>
    <row r="39" spans="1:11" x14ac:dyDescent="0.25">
      <c r="A39" s="50">
        <v>413759</v>
      </c>
      <c r="B39" s="121">
        <v>91946</v>
      </c>
      <c r="C39" s="123">
        <v>91367</v>
      </c>
      <c r="D39" s="122" t="s">
        <v>153</v>
      </c>
      <c r="E39" s="255">
        <v>518379</v>
      </c>
      <c r="F39" s="256">
        <v>158552</v>
      </c>
      <c r="G39" s="257">
        <v>157553</v>
      </c>
      <c r="H39" t="s">
        <v>153</v>
      </c>
      <c r="I39" s="255">
        <v>718138</v>
      </c>
      <c r="J39" s="256">
        <v>283751</v>
      </c>
      <c r="K39" s="257">
        <v>157553</v>
      </c>
    </row>
    <row r="40" spans="1:11" x14ac:dyDescent="0.25">
      <c r="A40" s="50">
        <v>414029</v>
      </c>
      <c r="B40" s="121">
        <v>91367</v>
      </c>
      <c r="C40" s="123">
        <v>90793</v>
      </c>
      <c r="D40" s="122" t="s">
        <v>153</v>
      </c>
      <c r="E40" s="255">
        <v>518718</v>
      </c>
      <c r="F40" s="256">
        <v>157553</v>
      </c>
      <c r="G40" s="257">
        <v>156559</v>
      </c>
      <c r="H40" t="s">
        <v>153</v>
      </c>
      <c r="I40" s="255">
        <v>718606</v>
      </c>
      <c r="J40" s="256">
        <v>281962</v>
      </c>
      <c r="K40" s="257">
        <v>156559</v>
      </c>
    </row>
    <row r="41" spans="1:11" x14ac:dyDescent="0.25">
      <c r="A41" s="50">
        <v>414299</v>
      </c>
      <c r="B41" s="121">
        <v>90793</v>
      </c>
      <c r="C41" s="123">
        <v>90219</v>
      </c>
      <c r="D41" s="122" t="s">
        <v>153</v>
      </c>
      <c r="E41" s="255">
        <v>519056</v>
      </c>
      <c r="F41" s="256">
        <v>156559</v>
      </c>
      <c r="G41" s="257">
        <v>155577</v>
      </c>
      <c r="H41" t="s">
        <v>153</v>
      </c>
      <c r="I41" s="255">
        <v>719071</v>
      </c>
      <c r="J41" s="256">
        <v>280193</v>
      </c>
      <c r="K41" s="257">
        <v>155577</v>
      </c>
    </row>
    <row r="42" spans="1:11" x14ac:dyDescent="0.25">
      <c r="A42" s="50">
        <v>414567</v>
      </c>
      <c r="B42" s="121">
        <v>90219</v>
      </c>
      <c r="C42" s="123">
        <v>89650</v>
      </c>
      <c r="D42" s="122" t="s">
        <v>153</v>
      </c>
      <c r="E42" s="255">
        <v>519392</v>
      </c>
      <c r="F42" s="256">
        <v>155577</v>
      </c>
      <c r="G42" s="257">
        <v>154592</v>
      </c>
      <c r="H42" t="s">
        <v>153</v>
      </c>
      <c r="I42" s="255">
        <v>719539</v>
      </c>
      <c r="J42" s="256">
        <v>278420</v>
      </c>
      <c r="K42" s="257">
        <v>154592</v>
      </c>
    </row>
    <row r="43" spans="1:11" x14ac:dyDescent="0.25">
      <c r="A43" s="50">
        <v>414837</v>
      </c>
      <c r="B43" s="121">
        <v>89650</v>
      </c>
      <c r="C43" s="123">
        <v>89083</v>
      </c>
      <c r="D43" s="122" t="s">
        <v>153</v>
      </c>
      <c r="E43" s="255">
        <v>519730</v>
      </c>
      <c r="F43" s="256">
        <v>154592</v>
      </c>
      <c r="G43" s="257">
        <v>153615</v>
      </c>
      <c r="H43" t="s">
        <v>153</v>
      </c>
      <c r="I43" s="255">
        <v>720006</v>
      </c>
      <c r="J43" s="256">
        <v>276660</v>
      </c>
      <c r="K43" s="257">
        <v>153615</v>
      </c>
    </row>
    <row r="44" spans="1:11" x14ac:dyDescent="0.25">
      <c r="A44" s="50">
        <v>415106</v>
      </c>
      <c r="B44" s="121">
        <v>89083</v>
      </c>
      <c r="C44" s="123">
        <v>88516</v>
      </c>
      <c r="D44" s="122" t="s">
        <v>153</v>
      </c>
      <c r="E44" s="255">
        <v>520067</v>
      </c>
      <c r="F44" s="256">
        <v>153615</v>
      </c>
      <c r="G44" s="257">
        <v>152638</v>
      </c>
      <c r="H44" t="s">
        <v>153</v>
      </c>
      <c r="I44" s="255">
        <v>720474</v>
      </c>
      <c r="J44" s="256">
        <v>274901</v>
      </c>
      <c r="K44" s="257">
        <v>152638</v>
      </c>
    </row>
    <row r="45" spans="1:11" x14ac:dyDescent="0.25">
      <c r="A45" s="50">
        <v>415376</v>
      </c>
      <c r="B45" s="121">
        <v>88516</v>
      </c>
      <c r="C45" s="123">
        <v>87953</v>
      </c>
      <c r="D45" s="122" t="s">
        <v>153</v>
      </c>
      <c r="E45" s="255">
        <v>520405</v>
      </c>
      <c r="F45" s="256">
        <v>152638</v>
      </c>
      <c r="G45" s="257">
        <v>151665</v>
      </c>
      <c r="H45" t="s">
        <v>153</v>
      </c>
      <c r="I45" s="255">
        <v>720942</v>
      </c>
      <c r="J45" s="256">
        <v>273149</v>
      </c>
      <c r="K45" s="257">
        <v>151665</v>
      </c>
    </row>
    <row r="46" spans="1:11" x14ac:dyDescent="0.25">
      <c r="A46" s="50">
        <v>415646</v>
      </c>
      <c r="B46" s="121">
        <v>87953</v>
      </c>
      <c r="C46" s="123">
        <v>87393</v>
      </c>
      <c r="D46" s="122" t="s">
        <v>153</v>
      </c>
      <c r="E46" s="255">
        <v>520744</v>
      </c>
      <c r="F46" s="256">
        <v>151665</v>
      </c>
      <c r="G46" s="257">
        <v>150703</v>
      </c>
      <c r="H46" t="s">
        <v>153</v>
      </c>
      <c r="I46" s="255">
        <v>721407</v>
      </c>
      <c r="J46" s="256">
        <v>271417</v>
      </c>
      <c r="K46" s="257">
        <v>150703</v>
      </c>
    </row>
    <row r="47" spans="1:11" x14ac:dyDescent="0.25">
      <c r="A47" s="50">
        <v>415914</v>
      </c>
      <c r="B47" s="121">
        <v>87393</v>
      </c>
      <c r="C47" s="123">
        <v>86835</v>
      </c>
      <c r="D47" s="122" t="s">
        <v>153</v>
      </c>
      <c r="E47" s="255">
        <v>521079</v>
      </c>
      <c r="F47" s="256">
        <v>150703</v>
      </c>
      <c r="G47" s="257">
        <v>149738</v>
      </c>
      <c r="H47" t="s">
        <v>153</v>
      </c>
      <c r="I47" s="255">
        <v>721876</v>
      </c>
      <c r="J47" s="256">
        <v>269678</v>
      </c>
      <c r="K47" s="257">
        <v>149738</v>
      </c>
    </row>
    <row r="48" spans="1:11" x14ac:dyDescent="0.25">
      <c r="A48" s="50">
        <v>416184</v>
      </c>
      <c r="B48" s="121">
        <v>86835</v>
      </c>
      <c r="C48" s="123">
        <v>86279</v>
      </c>
      <c r="D48" s="122" t="s">
        <v>153</v>
      </c>
      <c r="E48" s="255">
        <v>521418</v>
      </c>
      <c r="F48" s="256">
        <v>149738</v>
      </c>
      <c r="G48" s="257">
        <v>148776</v>
      </c>
      <c r="H48" t="s">
        <v>153</v>
      </c>
      <c r="I48" s="255">
        <v>722344</v>
      </c>
      <c r="J48" s="256">
        <v>267947</v>
      </c>
      <c r="K48" s="257">
        <v>148776</v>
      </c>
    </row>
    <row r="49" spans="1:11" x14ac:dyDescent="0.25">
      <c r="A49" s="50">
        <v>416454</v>
      </c>
      <c r="B49" s="121">
        <v>86279</v>
      </c>
      <c r="C49" s="123">
        <v>85726</v>
      </c>
      <c r="D49" s="122" t="s">
        <v>153</v>
      </c>
      <c r="E49" s="255">
        <v>521756</v>
      </c>
      <c r="F49" s="256">
        <v>148776</v>
      </c>
      <c r="G49" s="257">
        <v>147825</v>
      </c>
      <c r="H49" t="s">
        <v>153</v>
      </c>
      <c r="I49" s="255">
        <v>722809</v>
      </c>
      <c r="J49" s="256">
        <v>266234</v>
      </c>
      <c r="K49" s="257">
        <v>147825</v>
      </c>
    </row>
    <row r="50" spans="1:11" x14ac:dyDescent="0.25">
      <c r="A50" s="50">
        <v>416722</v>
      </c>
      <c r="B50" s="121">
        <v>85726</v>
      </c>
      <c r="C50" s="123">
        <v>85170</v>
      </c>
      <c r="D50" s="122" t="s">
        <v>153</v>
      </c>
      <c r="E50" s="255">
        <v>522092</v>
      </c>
      <c r="F50" s="256">
        <v>147825</v>
      </c>
      <c r="G50" s="257">
        <v>146871</v>
      </c>
      <c r="H50" t="s">
        <v>153</v>
      </c>
      <c r="I50" s="255">
        <v>723277</v>
      </c>
      <c r="J50" s="256">
        <v>264515</v>
      </c>
      <c r="K50" s="257">
        <v>146871</v>
      </c>
    </row>
    <row r="51" spans="1:11" x14ac:dyDescent="0.25">
      <c r="A51" s="50">
        <v>416992</v>
      </c>
      <c r="B51" s="121">
        <v>85170</v>
      </c>
      <c r="C51" s="123">
        <v>84621</v>
      </c>
      <c r="D51" s="122" t="s">
        <v>153</v>
      </c>
      <c r="E51" s="255">
        <v>522430</v>
      </c>
      <c r="F51" s="256">
        <v>146871</v>
      </c>
      <c r="G51" s="257">
        <v>145923</v>
      </c>
      <c r="H51" t="s">
        <v>153</v>
      </c>
      <c r="I51" s="255">
        <v>723744</v>
      </c>
      <c r="J51" s="256">
        <v>262809</v>
      </c>
      <c r="K51" s="257">
        <v>145923</v>
      </c>
    </row>
    <row r="52" spans="1:11" x14ac:dyDescent="0.25">
      <c r="A52" s="50">
        <v>417261</v>
      </c>
      <c r="B52" s="121">
        <v>84621</v>
      </c>
      <c r="C52" s="123">
        <v>84074</v>
      </c>
      <c r="D52" s="122" t="s">
        <v>153</v>
      </c>
      <c r="E52" s="255">
        <v>522767</v>
      </c>
      <c r="F52" s="256">
        <v>145923</v>
      </c>
      <c r="G52" s="257">
        <v>144975</v>
      </c>
      <c r="H52" t="s">
        <v>153</v>
      </c>
      <c r="I52" s="255">
        <v>724212</v>
      </c>
      <c r="J52" s="256">
        <v>261102</v>
      </c>
      <c r="K52" s="257">
        <v>144975</v>
      </c>
    </row>
    <row r="53" spans="1:11" x14ac:dyDescent="0.25">
      <c r="A53" s="50">
        <v>417531</v>
      </c>
      <c r="B53" s="121">
        <v>84074</v>
      </c>
      <c r="C53" s="123">
        <v>83528</v>
      </c>
      <c r="D53" s="122" t="s">
        <v>153</v>
      </c>
      <c r="E53" s="255">
        <v>523105</v>
      </c>
      <c r="F53" s="256">
        <v>144975</v>
      </c>
      <c r="G53" s="257">
        <v>144030</v>
      </c>
      <c r="H53" t="s">
        <v>153</v>
      </c>
      <c r="I53" s="255">
        <v>724680</v>
      </c>
      <c r="J53" s="256">
        <v>259400</v>
      </c>
      <c r="K53" s="257">
        <v>144030</v>
      </c>
    </row>
    <row r="54" spans="1:11" x14ac:dyDescent="0.25">
      <c r="A54" s="50">
        <v>417801</v>
      </c>
      <c r="B54" s="121">
        <v>83528</v>
      </c>
      <c r="C54" s="123">
        <v>82981</v>
      </c>
      <c r="D54" s="122" t="s">
        <v>153</v>
      </c>
      <c r="E54" s="255">
        <v>523444</v>
      </c>
      <c r="F54" s="256">
        <v>144030</v>
      </c>
      <c r="G54" s="257">
        <v>143095</v>
      </c>
      <c r="H54" t="s">
        <v>153</v>
      </c>
      <c r="I54" s="255">
        <v>725145</v>
      </c>
      <c r="J54" s="256">
        <v>257717</v>
      </c>
      <c r="K54" s="257">
        <v>143095</v>
      </c>
    </row>
    <row r="55" spans="1:11" x14ac:dyDescent="0.25">
      <c r="A55" s="50">
        <v>418069</v>
      </c>
      <c r="B55" s="121">
        <v>82981</v>
      </c>
      <c r="C55" s="123">
        <v>82439</v>
      </c>
      <c r="D55" s="122" t="s">
        <v>153</v>
      </c>
      <c r="E55" s="255">
        <v>523779</v>
      </c>
      <c r="F55" s="256">
        <v>143095</v>
      </c>
      <c r="G55" s="257">
        <v>142157</v>
      </c>
      <c r="H55" t="s">
        <v>153</v>
      </c>
      <c r="I55" s="255">
        <v>725614</v>
      </c>
      <c r="J55" s="256">
        <v>256027</v>
      </c>
      <c r="K55" s="257">
        <v>142157</v>
      </c>
    </row>
    <row r="56" spans="1:11" x14ac:dyDescent="0.25">
      <c r="A56" s="50">
        <v>418339</v>
      </c>
      <c r="B56" s="121">
        <v>82439</v>
      </c>
      <c r="C56" s="123">
        <v>81897</v>
      </c>
      <c r="D56" s="122" t="s">
        <v>153</v>
      </c>
      <c r="E56" s="255">
        <v>524118</v>
      </c>
      <c r="F56" s="256">
        <v>142157</v>
      </c>
      <c r="G56" s="257">
        <v>141221</v>
      </c>
      <c r="H56" t="s">
        <v>153</v>
      </c>
      <c r="I56" s="255">
        <v>726082</v>
      </c>
      <c r="J56" s="256">
        <v>254343</v>
      </c>
      <c r="K56" s="257">
        <v>141221</v>
      </c>
    </row>
    <row r="57" spans="1:11" x14ac:dyDescent="0.25">
      <c r="A57" s="50">
        <v>418609</v>
      </c>
      <c r="B57" s="121">
        <v>81897</v>
      </c>
      <c r="C57" s="123">
        <v>81359</v>
      </c>
      <c r="D57" s="122" t="s">
        <v>153</v>
      </c>
      <c r="E57" s="255">
        <v>524456</v>
      </c>
      <c r="F57" s="256">
        <v>141221</v>
      </c>
      <c r="G57" s="257">
        <v>140295</v>
      </c>
      <c r="H57" t="s">
        <v>153</v>
      </c>
      <c r="I57" s="255">
        <v>726547</v>
      </c>
      <c r="J57" s="256">
        <v>252676</v>
      </c>
      <c r="K57" s="257">
        <v>140295</v>
      </c>
    </row>
    <row r="58" spans="1:11" x14ac:dyDescent="0.25">
      <c r="A58" s="50">
        <v>418877</v>
      </c>
      <c r="B58" s="121">
        <v>81359</v>
      </c>
      <c r="C58" s="123">
        <v>80821</v>
      </c>
      <c r="D58" s="122" t="s">
        <v>153</v>
      </c>
      <c r="E58" s="255">
        <v>524792</v>
      </c>
      <c r="F58" s="256">
        <v>140295</v>
      </c>
      <c r="G58" s="257">
        <v>139366</v>
      </c>
      <c r="H58" t="s">
        <v>153</v>
      </c>
      <c r="I58" s="255">
        <v>727015</v>
      </c>
      <c r="J58" s="256">
        <v>251002</v>
      </c>
      <c r="K58" s="257">
        <v>139366</v>
      </c>
    </row>
    <row r="59" spans="1:11" x14ac:dyDescent="0.25">
      <c r="A59" s="50">
        <v>419147</v>
      </c>
      <c r="B59" s="121">
        <v>80821</v>
      </c>
      <c r="C59" s="123">
        <v>80284</v>
      </c>
      <c r="D59" s="122" t="s">
        <v>153</v>
      </c>
      <c r="E59" s="255">
        <v>525130</v>
      </c>
      <c r="F59" s="256">
        <v>139366</v>
      </c>
      <c r="G59" s="257">
        <v>138442</v>
      </c>
      <c r="H59" t="s">
        <v>153</v>
      </c>
      <c r="I59" s="255">
        <v>727482</v>
      </c>
      <c r="J59" s="256">
        <v>249339</v>
      </c>
      <c r="K59" s="257">
        <v>138442</v>
      </c>
    </row>
    <row r="60" spans="1:11" x14ac:dyDescent="0.25">
      <c r="A60" s="50">
        <v>419416</v>
      </c>
      <c r="B60" s="121">
        <v>80284</v>
      </c>
      <c r="C60" s="123">
        <v>79748</v>
      </c>
      <c r="D60" s="122" t="s">
        <v>153</v>
      </c>
      <c r="E60" s="255">
        <v>525467</v>
      </c>
      <c r="F60" s="256">
        <v>138442</v>
      </c>
      <c r="G60" s="257">
        <v>137518</v>
      </c>
      <c r="H60" t="s">
        <v>153</v>
      </c>
      <c r="I60" s="255">
        <v>727950</v>
      </c>
      <c r="J60" s="256">
        <v>247675</v>
      </c>
      <c r="K60" s="257">
        <v>137518</v>
      </c>
    </row>
    <row r="61" spans="1:11" x14ac:dyDescent="0.25">
      <c r="A61" s="50">
        <v>419686</v>
      </c>
      <c r="B61" s="121">
        <v>79748</v>
      </c>
      <c r="C61" s="123">
        <v>79215</v>
      </c>
      <c r="D61" s="122" t="s">
        <v>153</v>
      </c>
      <c r="E61" s="255">
        <v>525805</v>
      </c>
      <c r="F61" s="256">
        <v>137518</v>
      </c>
      <c r="G61" s="257">
        <v>136597</v>
      </c>
      <c r="H61" t="s">
        <v>153</v>
      </c>
      <c r="I61" s="255">
        <v>728418</v>
      </c>
      <c r="J61" s="256">
        <v>246016</v>
      </c>
      <c r="K61" s="257">
        <v>136597</v>
      </c>
    </row>
    <row r="62" spans="1:11" x14ac:dyDescent="0.25">
      <c r="A62" s="50">
        <v>419956</v>
      </c>
      <c r="B62" s="121">
        <v>79215</v>
      </c>
      <c r="C62" s="123">
        <v>78684</v>
      </c>
      <c r="D62" s="122" t="s">
        <v>153</v>
      </c>
      <c r="E62" s="255">
        <v>526143</v>
      </c>
      <c r="F62" s="256">
        <v>136597</v>
      </c>
      <c r="G62" s="257">
        <v>135685</v>
      </c>
      <c r="H62" t="s">
        <v>153</v>
      </c>
      <c r="I62" s="255">
        <v>728883</v>
      </c>
      <c r="J62" s="256">
        <v>244373</v>
      </c>
      <c r="K62" s="257">
        <v>135685</v>
      </c>
    </row>
    <row r="63" spans="1:11" x14ac:dyDescent="0.25">
      <c r="A63" s="50">
        <v>420224</v>
      </c>
      <c r="B63" s="121">
        <v>78684</v>
      </c>
      <c r="C63" s="123">
        <v>78154</v>
      </c>
      <c r="D63" s="122" t="s">
        <v>153</v>
      </c>
      <c r="E63" s="255">
        <v>526479</v>
      </c>
      <c r="F63" s="256">
        <v>135685</v>
      </c>
      <c r="G63" s="257">
        <v>134768</v>
      </c>
      <c r="H63" t="s">
        <v>153</v>
      </c>
      <c r="I63" s="255">
        <v>729351</v>
      </c>
      <c r="J63" s="256">
        <v>242724</v>
      </c>
      <c r="K63" s="257">
        <v>134768</v>
      </c>
    </row>
    <row r="64" spans="1:11" x14ac:dyDescent="0.25">
      <c r="A64" s="50">
        <v>420494</v>
      </c>
      <c r="B64" s="121">
        <v>78154</v>
      </c>
      <c r="C64" s="123">
        <v>77625</v>
      </c>
      <c r="D64" s="122" t="s">
        <v>153</v>
      </c>
      <c r="E64" s="255">
        <v>526817</v>
      </c>
      <c r="F64" s="256">
        <v>134768</v>
      </c>
      <c r="G64" s="257">
        <v>133855</v>
      </c>
      <c r="H64" t="s">
        <v>153</v>
      </c>
      <c r="I64" s="255">
        <v>729820</v>
      </c>
      <c r="J64" s="256">
        <v>241079</v>
      </c>
      <c r="K64" s="257">
        <v>133855</v>
      </c>
    </row>
    <row r="65" spans="1:11" x14ac:dyDescent="0.25">
      <c r="A65" s="50">
        <v>420764</v>
      </c>
      <c r="B65" s="121">
        <v>77625</v>
      </c>
      <c r="C65" s="123">
        <v>77097</v>
      </c>
      <c r="D65" s="122" t="s">
        <v>153</v>
      </c>
      <c r="E65" s="255">
        <v>527156</v>
      </c>
      <c r="F65" s="256">
        <v>133855</v>
      </c>
      <c r="G65" s="257">
        <v>132950</v>
      </c>
      <c r="H65" t="s">
        <v>153</v>
      </c>
      <c r="I65" s="255">
        <v>730285</v>
      </c>
      <c r="J65" s="256">
        <v>239450</v>
      </c>
      <c r="K65" s="257">
        <v>132950</v>
      </c>
    </row>
    <row r="66" spans="1:11" x14ac:dyDescent="0.25">
      <c r="A66" s="50">
        <v>421032</v>
      </c>
      <c r="B66" s="121">
        <v>77097</v>
      </c>
      <c r="C66" s="123">
        <v>76573</v>
      </c>
      <c r="D66" s="122" t="s">
        <v>153</v>
      </c>
      <c r="E66" s="255">
        <v>527491</v>
      </c>
      <c r="F66" s="256">
        <v>132950</v>
      </c>
      <c r="G66" s="257">
        <v>132042</v>
      </c>
      <c r="H66" t="s">
        <v>153</v>
      </c>
      <c r="I66" s="255">
        <v>730753</v>
      </c>
      <c r="J66" s="256">
        <v>237814</v>
      </c>
      <c r="K66" s="257">
        <v>132042</v>
      </c>
    </row>
    <row r="67" spans="1:11" x14ac:dyDescent="0.25">
      <c r="A67" s="50">
        <v>421302</v>
      </c>
      <c r="B67" s="121">
        <v>76573</v>
      </c>
      <c r="C67" s="123">
        <v>76047</v>
      </c>
      <c r="D67" s="122" t="s">
        <v>153</v>
      </c>
      <c r="E67" s="255">
        <v>527830</v>
      </c>
      <c r="F67" s="256">
        <v>132042</v>
      </c>
      <c r="G67" s="257">
        <v>131139</v>
      </c>
      <c r="H67" t="s">
        <v>153</v>
      </c>
      <c r="I67" s="255">
        <v>731219</v>
      </c>
      <c r="J67" s="256">
        <v>236188</v>
      </c>
      <c r="K67" s="257">
        <v>131139</v>
      </c>
    </row>
    <row r="68" spans="1:11" x14ac:dyDescent="0.25">
      <c r="A68" s="50">
        <v>421571</v>
      </c>
      <c r="B68" s="121">
        <v>76047</v>
      </c>
      <c r="C68" s="123">
        <v>75525</v>
      </c>
      <c r="D68" s="122" t="s">
        <v>153</v>
      </c>
      <c r="E68" s="255">
        <v>528167</v>
      </c>
      <c r="F68" s="256">
        <v>131139</v>
      </c>
      <c r="G68" s="257">
        <v>130235</v>
      </c>
      <c r="H68" t="s">
        <v>153</v>
      </c>
      <c r="I68" s="255">
        <v>731688</v>
      </c>
      <c r="J68" s="256">
        <v>234561</v>
      </c>
      <c r="K68" s="257">
        <v>130235</v>
      </c>
    </row>
    <row r="69" spans="1:11" x14ac:dyDescent="0.25">
      <c r="A69" s="50">
        <v>421841</v>
      </c>
      <c r="B69" s="121">
        <v>75525</v>
      </c>
      <c r="C69" s="123">
        <v>75005</v>
      </c>
      <c r="D69" s="122" t="s">
        <v>153</v>
      </c>
      <c r="E69" s="255">
        <v>528505</v>
      </c>
      <c r="F69" s="256">
        <v>130235</v>
      </c>
      <c r="G69" s="257">
        <v>129333</v>
      </c>
      <c r="H69" t="s">
        <v>153</v>
      </c>
      <c r="I69" s="255">
        <v>732156</v>
      </c>
      <c r="J69" s="256">
        <v>232937</v>
      </c>
      <c r="K69" s="257">
        <v>129333</v>
      </c>
    </row>
    <row r="70" spans="1:11" x14ac:dyDescent="0.25">
      <c r="A70" s="50">
        <v>422111</v>
      </c>
      <c r="B70" s="121">
        <v>75005</v>
      </c>
      <c r="C70" s="123">
        <v>74484</v>
      </c>
      <c r="D70" s="122" t="s">
        <v>153</v>
      </c>
      <c r="E70" s="255">
        <v>528843</v>
      </c>
      <c r="F70" s="256">
        <v>129333</v>
      </c>
      <c r="G70" s="257">
        <v>128440</v>
      </c>
      <c r="H70" t="s">
        <v>153</v>
      </c>
      <c r="I70" s="255">
        <v>732621</v>
      </c>
      <c r="J70" s="256">
        <v>231330</v>
      </c>
      <c r="K70" s="257">
        <v>128440</v>
      </c>
    </row>
    <row r="71" spans="1:11" x14ac:dyDescent="0.25">
      <c r="A71" s="50">
        <v>422379</v>
      </c>
      <c r="B71" s="121">
        <v>74484</v>
      </c>
      <c r="C71" s="123">
        <v>73964</v>
      </c>
      <c r="D71" s="122" t="s">
        <v>153</v>
      </c>
      <c r="E71" s="255">
        <v>529179</v>
      </c>
      <c r="F71" s="256">
        <v>128440</v>
      </c>
      <c r="G71" s="257">
        <v>127543</v>
      </c>
      <c r="H71" t="s">
        <v>153</v>
      </c>
      <c r="I71" s="255">
        <v>733089</v>
      </c>
      <c r="J71" s="256">
        <v>229715</v>
      </c>
      <c r="K71" s="257">
        <v>127543</v>
      </c>
    </row>
    <row r="72" spans="1:11" x14ac:dyDescent="0.25">
      <c r="A72" s="50">
        <v>422649</v>
      </c>
      <c r="B72" s="121">
        <v>73964</v>
      </c>
      <c r="C72" s="123">
        <v>73447</v>
      </c>
      <c r="D72" s="122" t="s">
        <v>153</v>
      </c>
      <c r="E72" s="255">
        <v>529517</v>
      </c>
      <c r="F72" s="256">
        <v>127543</v>
      </c>
      <c r="G72" s="257">
        <v>126648</v>
      </c>
      <c r="H72" t="s">
        <v>153</v>
      </c>
      <c r="I72" s="255">
        <v>733558</v>
      </c>
      <c r="J72" s="256">
        <v>228103</v>
      </c>
      <c r="K72" s="257">
        <v>126648</v>
      </c>
    </row>
    <row r="73" spans="1:11" x14ac:dyDescent="0.25">
      <c r="A73" s="50">
        <v>422919</v>
      </c>
      <c r="B73" s="121">
        <v>73447</v>
      </c>
      <c r="C73" s="123">
        <v>72930</v>
      </c>
      <c r="D73" s="122" t="s">
        <v>153</v>
      </c>
      <c r="E73" s="255">
        <v>529856</v>
      </c>
      <c r="F73" s="256">
        <v>126648</v>
      </c>
      <c r="G73" s="257">
        <v>125762</v>
      </c>
      <c r="H73" t="s">
        <v>153</v>
      </c>
      <c r="I73" s="255">
        <v>734022</v>
      </c>
      <c r="J73" s="256">
        <v>226508</v>
      </c>
      <c r="K73" s="257">
        <v>125762</v>
      </c>
    </row>
    <row r="74" spans="1:11" x14ac:dyDescent="0.25">
      <c r="A74" s="50">
        <v>423187</v>
      </c>
      <c r="B74" s="121">
        <v>72930</v>
      </c>
      <c r="C74" s="123">
        <v>72415</v>
      </c>
      <c r="D74" s="122" t="s">
        <v>153</v>
      </c>
      <c r="E74" s="255">
        <v>530191</v>
      </c>
      <c r="F74" s="256">
        <v>125762</v>
      </c>
      <c r="G74" s="257">
        <v>124872</v>
      </c>
      <c r="H74" t="s">
        <v>153</v>
      </c>
      <c r="I74" s="255">
        <v>734491</v>
      </c>
      <c r="J74" s="256">
        <v>224904</v>
      </c>
      <c r="K74" s="257">
        <v>124872</v>
      </c>
    </row>
    <row r="75" spans="1:11" x14ac:dyDescent="0.25">
      <c r="A75" s="50">
        <v>423457</v>
      </c>
      <c r="B75" s="121">
        <v>72415</v>
      </c>
      <c r="C75" s="123">
        <v>71902</v>
      </c>
      <c r="D75" s="122" t="s">
        <v>153</v>
      </c>
      <c r="E75" s="255">
        <v>530530</v>
      </c>
      <c r="F75" s="256">
        <v>124872</v>
      </c>
      <c r="G75" s="257">
        <v>123987</v>
      </c>
      <c r="H75" t="s">
        <v>153</v>
      </c>
      <c r="I75" s="255">
        <v>734957</v>
      </c>
      <c r="J75" s="256">
        <v>223311</v>
      </c>
      <c r="K75" s="257">
        <v>123987</v>
      </c>
    </row>
    <row r="76" spans="1:11" x14ac:dyDescent="0.25">
      <c r="A76" s="50">
        <v>423726</v>
      </c>
      <c r="B76" s="121">
        <v>71902</v>
      </c>
      <c r="C76" s="123">
        <v>71387</v>
      </c>
      <c r="D76" s="122" t="s">
        <v>153</v>
      </c>
      <c r="E76" s="255">
        <v>530867</v>
      </c>
      <c r="F76" s="256">
        <v>123987</v>
      </c>
      <c r="G76" s="257">
        <v>123100</v>
      </c>
      <c r="H76" t="s">
        <v>153</v>
      </c>
      <c r="I76" s="255">
        <v>735426</v>
      </c>
      <c r="J76" s="256">
        <v>221715</v>
      </c>
      <c r="K76" s="257">
        <v>123100</v>
      </c>
    </row>
    <row r="77" spans="1:11" x14ac:dyDescent="0.25">
      <c r="A77" s="50">
        <v>423996</v>
      </c>
      <c r="B77" s="121">
        <v>71387</v>
      </c>
      <c r="C77" s="123">
        <v>70875</v>
      </c>
      <c r="D77" s="122" t="s">
        <v>153</v>
      </c>
      <c r="E77" s="255">
        <v>531205</v>
      </c>
      <c r="F77" s="256">
        <v>123100</v>
      </c>
      <c r="G77" s="257">
        <v>122216</v>
      </c>
      <c r="H77" t="s">
        <v>153</v>
      </c>
      <c r="I77" s="255">
        <v>735894</v>
      </c>
      <c r="J77" s="256">
        <v>220122</v>
      </c>
      <c r="K77" s="257">
        <v>122216</v>
      </c>
    </row>
    <row r="78" spans="1:11" x14ac:dyDescent="0.25">
      <c r="A78" s="50">
        <v>424266</v>
      </c>
      <c r="B78" s="121">
        <v>70875</v>
      </c>
      <c r="C78" s="123">
        <v>70366</v>
      </c>
      <c r="D78" s="122" t="s">
        <v>153</v>
      </c>
      <c r="E78" s="255">
        <v>531543</v>
      </c>
      <c r="F78" s="256">
        <v>122216</v>
      </c>
      <c r="G78" s="257">
        <v>121340</v>
      </c>
      <c r="H78" t="s">
        <v>153</v>
      </c>
      <c r="I78" s="255">
        <v>736359</v>
      </c>
      <c r="J78" s="256">
        <v>218545</v>
      </c>
      <c r="K78" s="257">
        <v>121340</v>
      </c>
    </row>
    <row r="79" spans="1:11" x14ac:dyDescent="0.25">
      <c r="A79" s="50">
        <v>424534</v>
      </c>
      <c r="B79" s="121">
        <v>70366</v>
      </c>
      <c r="C79" s="123">
        <v>69856</v>
      </c>
      <c r="D79" s="122" t="s">
        <v>153</v>
      </c>
      <c r="E79" s="255">
        <v>531879</v>
      </c>
      <c r="F79" s="256">
        <v>121340</v>
      </c>
      <c r="G79" s="257">
        <v>120460</v>
      </c>
      <c r="H79" t="s">
        <v>153</v>
      </c>
      <c r="I79" s="255">
        <v>736827</v>
      </c>
      <c r="J79" s="256">
        <v>216960</v>
      </c>
      <c r="K79" s="257">
        <v>120460</v>
      </c>
    </row>
    <row r="80" spans="1:11" x14ac:dyDescent="0.25">
      <c r="A80" s="50">
        <v>424804</v>
      </c>
      <c r="B80" s="121">
        <v>69856</v>
      </c>
      <c r="C80" s="123">
        <v>69348</v>
      </c>
      <c r="D80" s="122" t="s">
        <v>153</v>
      </c>
      <c r="E80" s="255">
        <v>532217</v>
      </c>
      <c r="F80" s="256">
        <v>120460</v>
      </c>
      <c r="G80" s="257">
        <v>119581</v>
      </c>
      <c r="H80" t="s">
        <v>153</v>
      </c>
      <c r="I80" s="255">
        <v>737295</v>
      </c>
      <c r="J80" s="256">
        <v>215379</v>
      </c>
      <c r="K80" s="257">
        <v>119581</v>
      </c>
    </row>
    <row r="81" spans="1:11" x14ac:dyDescent="0.25">
      <c r="A81" s="50">
        <v>425074</v>
      </c>
      <c r="B81" s="121">
        <v>69348</v>
      </c>
      <c r="C81" s="123">
        <v>68842</v>
      </c>
      <c r="D81" s="122" t="s">
        <v>153</v>
      </c>
      <c r="E81" s="255">
        <v>532556</v>
      </c>
      <c r="F81" s="256">
        <v>119581</v>
      </c>
      <c r="G81" s="257">
        <v>118711</v>
      </c>
      <c r="H81" t="s">
        <v>153</v>
      </c>
      <c r="I81" s="255">
        <v>737760</v>
      </c>
      <c r="J81" s="256">
        <v>213812</v>
      </c>
      <c r="K81" s="257">
        <v>118711</v>
      </c>
    </row>
    <row r="82" spans="1:11" x14ac:dyDescent="0.25">
      <c r="A82" s="50">
        <v>425342</v>
      </c>
      <c r="B82" s="121">
        <v>68842</v>
      </c>
      <c r="C82" s="123">
        <v>68334</v>
      </c>
      <c r="D82" s="122" t="s">
        <v>153</v>
      </c>
      <c r="E82" s="255">
        <v>532891</v>
      </c>
      <c r="F82" s="256">
        <v>118711</v>
      </c>
      <c r="G82" s="257">
        <v>117836</v>
      </c>
      <c r="H82" t="s">
        <v>153</v>
      </c>
      <c r="I82" s="255">
        <v>738229</v>
      </c>
      <c r="J82" s="256">
        <v>212237</v>
      </c>
      <c r="K82" s="257">
        <v>117836</v>
      </c>
    </row>
    <row r="83" spans="1:11" x14ac:dyDescent="0.25">
      <c r="A83" s="50">
        <v>425612</v>
      </c>
      <c r="B83" s="121">
        <v>68334</v>
      </c>
      <c r="C83" s="123">
        <v>67832</v>
      </c>
      <c r="D83" s="122" t="s">
        <v>153</v>
      </c>
      <c r="E83" s="255">
        <v>533230</v>
      </c>
      <c r="F83" s="256">
        <v>117836</v>
      </c>
      <c r="G83" s="257">
        <v>116967</v>
      </c>
      <c r="H83" t="s">
        <v>153</v>
      </c>
      <c r="I83" s="255">
        <v>738695</v>
      </c>
      <c r="J83" s="256">
        <v>210672</v>
      </c>
      <c r="K83" s="257">
        <v>116967</v>
      </c>
    </row>
    <row r="84" spans="1:11" x14ac:dyDescent="0.25">
      <c r="A84" s="50">
        <v>425881</v>
      </c>
      <c r="B84" s="121">
        <v>67832</v>
      </c>
      <c r="C84" s="123">
        <v>67327</v>
      </c>
      <c r="D84" s="122" t="s">
        <v>153</v>
      </c>
      <c r="E84" s="255">
        <v>533567</v>
      </c>
      <c r="F84" s="256">
        <v>116967</v>
      </c>
      <c r="G84" s="257">
        <v>116096</v>
      </c>
      <c r="H84" t="s">
        <v>153</v>
      </c>
      <c r="I84" s="255">
        <v>739164</v>
      </c>
      <c r="J84" s="256">
        <v>209103</v>
      </c>
      <c r="K84" s="257">
        <v>116096</v>
      </c>
    </row>
    <row r="85" spans="1:11" x14ac:dyDescent="0.25">
      <c r="A85" s="50">
        <v>426151</v>
      </c>
      <c r="B85" s="121">
        <v>67327</v>
      </c>
      <c r="C85" s="123">
        <v>66823</v>
      </c>
      <c r="D85" s="122" t="s">
        <v>153</v>
      </c>
      <c r="E85" s="255">
        <v>533905</v>
      </c>
      <c r="F85" s="256">
        <v>116096</v>
      </c>
      <c r="G85" s="257">
        <v>115227</v>
      </c>
      <c r="H85" t="s">
        <v>153</v>
      </c>
      <c r="I85" s="255">
        <v>739632</v>
      </c>
      <c r="J85" s="256">
        <v>207539</v>
      </c>
      <c r="K85" s="257">
        <v>115227</v>
      </c>
    </row>
    <row r="86" spans="1:11" x14ac:dyDescent="0.25">
      <c r="A86" s="50">
        <v>426421</v>
      </c>
      <c r="B86" s="121">
        <v>66823</v>
      </c>
      <c r="C86" s="123">
        <v>66322</v>
      </c>
      <c r="D86" s="122" t="s">
        <v>153</v>
      </c>
      <c r="E86" s="255">
        <v>534243</v>
      </c>
      <c r="F86" s="256">
        <v>115227</v>
      </c>
      <c r="G86" s="257">
        <v>114366</v>
      </c>
      <c r="H86" t="s">
        <v>153</v>
      </c>
      <c r="I86" s="255">
        <v>740097</v>
      </c>
      <c r="J86" s="256">
        <v>205988</v>
      </c>
      <c r="K86" s="257">
        <v>114366</v>
      </c>
    </row>
    <row r="87" spans="1:11" x14ac:dyDescent="0.25">
      <c r="A87" s="50">
        <v>426689</v>
      </c>
      <c r="B87" s="121">
        <v>66322</v>
      </c>
      <c r="C87" s="123">
        <v>65822</v>
      </c>
      <c r="D87" s="122" t="s">
        <v>153</v>
      </c>
      <c r="E87" s="255">
        <v>534579</v>
      </c>
      <c r="F87" s="256">
        <v>114366</v>
      </c>
      <c r="G87" s="257">
        <v>113500</v>
      </c>
      <c r="H87" t="s">
        <v>153</v>
      </c>
      <c r="I87" s="255">
        <v>740565</v>
      </c>
      <c r="J87" s="256">
        <v>204430</v>
      </c>
      <c r="K87" s="257">
        <v>113500</v>
      </c>
    </row>
    <row r="88" spans="1:11" x14ac:dyDescent="0.25">
      <c r="A88" s="50">
        <v>426959</v>
      </c>
      <c r="B88" s="121">
        <v>65822</v>
      </c>
      <c r="C88" s="123">
        <v>65321</v>
      </c>
      <c r="D88" s="122" t="s">
        <v>153</v>
      </c>
      <c r="E88" s="255">
        <v>534917</v>
      </c>
      <c r="F88" s="256">
        <v>113500</v>
      </c>
      <c r="G88" s="257">
        <v>112636</v>
      </c>
      <c r="H88" t="s">
        <v>153</v>
      </c>
      <c r="I88" s="255">
        <v>741033</v>
      </c>
      <c r="J88" s="256">
        <v>202874</v>
      </c>
      <c r="K88" s="257">
        <v>112636</v>
      </c>
    </row>
    <row r="89" spans="1:11" x14ac:dyDescent="0.25">
      <c r="A89" s="50">
        <v>427229</v>
      </c>
      <c r="B89" s="121">
        <v>65321</v>
      </c>
      <c r="C89" s="123">
        <v>64822</v>
      </c>
      <c r="D89" s="122" t="s">
        <v>153</v>
      </c>
      <c r="E89" s="255">
        <v>535255</v>
      </c>
      <c r="F89" s="256">
        <v>112636</v>
      </c>
      <c r="G89" s="257">
        <v>111780</v>
      </c>
      <c r="H89" t="s">
        <v>153</v>
      </c>
      <c r="I89" s="255">
        <v>741498</v>
      </c>
      <c r="J89" s="256">
        <v>201333</v>
      </c>
      <c r="K89" s="257">
        <v>111780</v>
      </c>
    </row>
    <row r="90" spans="1:11" x14ac:dyDescent="0.25">
      <c r="A90" s="50">
        <v>427497</v>
      </c>
      <c r="B90" s="121">
        <v>64822</v>
      </c>
      <c r="C90" s="123">
        <v>64325</v>
      </c>
      <c r="D90" s="122" t="s">
        <v>153</v>
      </c>
      <c r="E90" s="255">
        <v>535591</v>
      </c>
      <c r="F90" s="256">
        <v>111780</v>
      </c>
      <c r="G90" s="257">
        <v>110920</v>
      </c>
      <c r="H90" t="s">
        <v>153</v>
      </c>
      <c r="I90" s="255">
        <v>741966</v>
      </c>
      <c r="J90" s="256">
        <v>199784</v>
      </c>
      <c r="K90" s="257">
        <v>110920</v>
      </c>
    </row>
    <row r="91" spans="1:11" x14ac:dyDescent="0.25">
      <c r="A91" s="50">
        <v>427767</v>
      </c>
      <c r="B91" s="121">
        <v>64325</v>
      </c>
      <c r="C91" s="123">
        <v>63827</v>
      </c>
      <c r="D91" s="122" t="s">
        <v>153</v>
      </c>
      <c r="E91" s="255">
        <v>535929</v>
      </c>
      <c r="F91" s="256">
        <v>110920</v>
      </c>
      <c r="G91" s="257">
        <v>110064</v>
      </c>
      <c r="H91" t="s">
        <v>153</v>
      </c>
      <c r="I91" s="255">
        <v>742433</v>
      </c>
      <c r="J91" s="256">
        <v>198243</v>
      </c>
      <c r="K91" s="257">
        <v>110064</v>
      </c>
    </row>
    <row r="92" spans="1:11" x14ac:dyDescent="0.25">
      <c r="A92" s="50">
        <v>428036</v>
      </c>
      <c r="B92" s="121">
        <v>63827</v>
      </c>
      <c r="C92" s="123">
        <v>63332</v>
      </c>
      <c r="D92" s="122" t="s">
        <v>153</v>
      </c>
      <c r="E92" s="255">
        <v>536266</v>
      </c>
      <c r="F92" s="256">
        <v>110064</v>
      </c>
      <c r="G92" s="257">
        <v>109207</v>
      </c>
      <c r="H92" t="s">
        <v>153</v>
      </c>
      <c r="I92" s="255">
        <v>742901</v>
      </c>
      <c r="J92" s="256">
        <v>196700</v>
      </c>
      <c r="K92" s="257">
        <v>109207</v>
      </c>
    </row>
    <row r="93" spans="1:11" x14ac:dyDescent="0.25">
      <c r="A93" s="50">
        <v>428306</v>
      </c>
      <c r="B93" s="121">
        <v>63332</v>
      </c>
      <c r="C93" s="123">
        <v>62837</v>
      </c>
      <c r="D93" s="122" t="s">
        <v>153</v>
      </c>
      <c r="E93" s="255">
        <v>536605</v>
      </c>
      <c r="F93" s="256">
        <v>109207</v>
      </c>
      <c r="G93" s="257">
        <v>108351</v>
      </c>
      <c r="H93" t="s">
        <v>153</v>
      </c>
      <c r="I93" s="255">
        <v>743370</v>
      </c>
      <c r="J93" s="256">
        <v>195160</v>
      </c>
      <c r="K93" s="257">
        <v>108351</v>
      </c>
    </row>
    <row r="94" spans="1:11" x14ac:dyDescent="0.25">
      <c r="A94" s="50">
        <v>428576</v>
      </c>
      <c r="B94" s="121">
        <v>62837</v>
      </c>
      <c r="C94" s="123">
        <v>62341</v>
      </c>
      <c r="D94" s="122" t="s">
        <v>153</v>
      </c>
      <c r="E94" s="255">
        <v>536943</v>
      </c>
      <c r="F94" s="256">
        <v>108351</v>
      </c>
      <c r="G94" s="257">
        <v>107504</v>
      </c>
      <c r="H94" t="s">
        <v>153</v>
      </c>
      <c r="I94" s="255">
        <v>743835</v>
      </c>
      <c r="J94" s="256">
        <v>193633</v>
      </c>
      <c r="K94" s="257">
        <v>107504</v>
      </c>
    </row>
    <row r="95" spans="1:11" x14ac:dyDescent="0.25">
      <c r="A95" s="50">
        <v>428844</v>
      </c>
      <c r="B95" s="121">
        <v>62341</v>
      </c>
      <c r="C95" s="123">
        <v>61848</v>
      </c>
      <c r="D95" s="122" t="s">
        <v>153</v>
      </c>
      <c r="E95" s="255">
        <v>537279</v>
      </c>
      <c r="F95" s="256">
        <v>107504</v>
      </c>
      <c r="G95" s="257">
        <v>106651</v>
      </c>
      <c r="H95" t="s">
        <v>153</v>
      </c>
      <c r="I95" s="255">
        <v>744303</v>
      </c>
      <c r="J95" s="256">
        <v>192099</v>
      </c>
      <c r="K95" s="257">
        <v>106651</v>
      </c>
    </row>
    <row r="96" spans="1:11" x14ac:dyDescent="0.25">
      <c r="A96" s="50">
        <v>429114</v>
      </c>
      <c r="B96" s="121">
        <v>61848</v>
      </c>
      <c r="C96" s="123">
        <v>61358</v>
      </c>
      <c r="D96" s="122" t="s">
        <v>153</v>
      </c>
      <c r="E96" s="255">
        <v>537617</v>
      </c>
      <c r="F96" s="256">
        <v>106651</v>
      </c>
      <c r="G96" s="257">
        <v>105801</v>
      </c>
      <c r="H96" t="s">
        <v>153</v>
      </c>
      <c r="I96" s="255">
        <v>744771</v>
      </c>
      <c r="J96" s="256">
        <v>190567</v>
      </c>
      <c r="K96" s="257">
        <v>105801</v>
      </c>
    </row>
    <row r="97" spans="1:11" x14ac:dyDescent="0.25">
      <c r="A97" s="50">
        <v>429384</v>
      </c>
      <c r="B97" s="121">
        <v>61358</v>
      </c>
      <c r="C97" s="123">
        <v>60866</v>
      </c>
      <c r="D97" s="122" t="s">
        <v>153</v>
      </c>
      <c r="E97" s="255">
        <v>537955</v>
      </c>
      <c r="F97" s="256">
        <v>105801</v>
      </c>
      <c r="G97" s="257">
        <v>104957</v>
      </c>
      <c r="H97" t="s">
        <v>153</v>
      </c>
      <c r="I97" s="255">
        <v>745236</v>
      </c>
      <c r="J97" s="256">
        <v>189049</v>
      </c>
      <c r="K97" s="257">
        <v>104957</v>
      </c>
    </row>
    <row r="98" spans="1:11" x14ac:dyDescent="0.25">
      <c r="A98" s="50">
        <v>429652</v>
      </c>
      <c r="B98" s="121">
        <v>60866</v>
      </c>
      <c r="C98" s="123">
        <v>60374</v>
      </c>
      <c r="D98" s="122" t="s">
        <v>153</v>
      </c>
      <c r="E98" s="255">
        <v>538291</v>
      </c>
      <c r="F98" s="256">
        <v>104957</v>
      </c>
      <c r="G98" s="257">
        <v>104110</v>
      </c>
      <c r="H98" t="s">
        <v>153</v>
      </c>
      <c r="I98" s="255">
        <v>745704</v>
      </c>
      <c r="J98" s="256">
        <v>187522</v>
      </c>
      <c r="K98" s="257">
        <v>104110</v>
      </c>
    </row>
    <row r="99" spans="1:11" x14ac:dyDescent="0.25">
      <c r="A99" s="50">
        <v>429922</v>
      </c>
      <c r="B99" s="121">
        <v>60374</v>
      </c>
      <c r="C99" s="123">
        <v>59884</v>
      </c>
      <c r="D99" s="122" t="s">
        <v>153</v>
      </c>
      <c r="E99" s="255">
        <v>538629</v>
      </c>
      <c r="F99" s="256">
        <v>104110</v>
      </c>
      <c r="G99" s="257">
        <v>103266</v>
      </c>
      <c r="H99" t="s">
        <v>153</v>
      </c>
      <c r="I99" s="255">
        <v>746171</v>
      </c>
      <c r="J99" s="256">
        <v>186004</v>
      </c>
      <c r="K99" s="257">
        <v>103266</v>
      </c>
    </row>
    <row r="100" spans="1:11" x14ac:dyDescent="0.25">
      <c r="A100" s="50">
        <v>430191</v>
      </c>
      <c r="B100" s="121">
        <v>59884</v>
      </c>
      <c r="C100" s="123">
        <v>59398</v>
      </c>
      <c r="D100" s="122" t="s">
        <v>153</v>
      </c>
      <c r="E100" s="255">
        <v>538966</v>
      </c>
      <c r="F100" s="256">
        <v>103266</v>
      </c>
      <c r="G100" s="257">
        <v>102422</v>
      </c>
      <c r="H100" t="s">
        <v>153</v>
      </c>
      <c r="I100" s="255">
        <v>746639</v>
      </c>
      <c r="J100" s="256">
        <v>184483</v>
      </c>
      <c r="K100" s="257">
        <v>102422</v>
      </c>
    </row>
    <row r="101" spans="1:11" x14ac:dyDescent="0.25">
      <c r="A101" s="50">
        <v>430461</v>
      </c>
      <c r="B101" s="121">
        <v>59398</v>
      </c>
      <c r="C101" s="123">
        <v>58909</v>
      </c>
      <c r="D101" s="122" t="s">
        <v>153</v>
      </c>
      <c r="E101" s="255">
        <v>539305</v>
      </c>
      <c r="F101" s="256">
        <v>102422</v>
      </c>
      <c r="G101" s="257">
        <v>101578</v>
      </c>
      <c r="H101" t="s">
        <v>153</v>
      </c>
      <c r="I101" s="255">
        <v>747108</v>
      </c>
      <c r="J101" s="256">
        <v>182965</v>
      </c>
      <c r="K101" s="257">
        <v>101578</v>
      </c>
    </row>
    <row r="102" spans="1:11" x14ac:dyDescent="0.25">
      <c r="A102" s="50">
        <v>430731</v>
      </c>
      <c r="B102" s="121">
        <v>58909</v>
      </c>
      <c r="C102" s="123">
        <v>58421</v>
      </c>
      <c r="D102" s="122" t="s">
        <v>153</v>
      </c>
      <c r="E102" s="255">
        <v>539643</v>
      </c>
      <c r="F102" s="256">
        <v>101578</v>
      </c>
      <c r="G102" s="257">
        <v>100743</v>
      </c>
      <c r="H102" t="s">
        <v>153</v>
      </c>
      <c r="I102" s="255">
        <v>747572</v>
      </c>
      <c r="J102" s="256">
        <v>181460</v>
      </c>
      <c r="K102" s="257">
        <v>100743</v>
      </c>
    </row>
    <row r="103" spans="1:11" x14ac:dyDescent="0.25">
      <c r="A103" s="50">
        <v>430999</v>
      </c>
      <c r="B103" s="121">
        <v>58421</v>
      </c>
      <c r="C103" s="123">
        <v>57935</v>
      </c>
      <c r="D103" s="122" t="s">
        <v>153</v>
      </c>
      <c r="E103" s="255">
        <v>539979</v>
      </c>
      <c r="F103" s="256">
        <v>100743</v>
      </c>
      <c r="G103" s="257">
        <v>99902</v>
      </c>
      <c r="H103" t="s">
        <v>153</v>
      </c>
      <c r="I103" s="255">
        <v>748041</v>
      </c>
      <c r="J103" s="256">
        <v>179947</v>
      </c>
      <c r="K103" s="257">
        <v>99902</v>
      </c>
    </row>
    <row r="104" spans="1:11" x14ac:dyDescent="0.25">
      <c r="A104" s="50">
        <v>431269</v>
      </c>
      <c r="B104" s="121">
        <v>57935</v>
      </c>
      <c r="C104" s="123">
        <v>57450</v>
      </c>
      <c r="D104" s="122" t="s">
        <v>153</v>
      </c>
      <c r="E104" s="255">
        <v>540317</v>
      </c>
      <c r="F104" s="256">
        <v>99902</v>
      </c>
      <c r="G104" s="257">
        <v>99063</v>
      </c>
      <c r="H104" t="s">
        <v>153</v>
      </c>
      <c r="I104" s="255">
        <v>748509</v>
      </c>
      <c r="J104" s="256">
        <v>178436</v>
      </c>
      <c r="K104" s="257">
        <v>99063</v>
      </c>
    </row>
    <row r="105" spans="1:11" x14ac:dyDescent="0.25">
      <c r="A105" s="50">
        <v>431539</v>
      </c>
      <c r="B105" s="121">
        <v>57450</v>
      </c>
      <c r="C105" s="123">
        <v>56965</v>
      </c>
      <c r="D105" s="122" t="s">
        <v>153</v>
      </c>
      <c r="E105" s="255">
        <v>540655</v>
      </c>
      <c r="F105" s="256">
        <v>99063</v>
      </c>
      <c r="G105" s="257">
        <v>98232</v>
      </c>
      <c r="H105" t="s">
        <v>153</v>
      </c>
      <c r="I105" s="255">
        <v>748974</v>
      </c>
      <c r="J105" s="256">
        <v>176939</v>
      </c>
      <c r="K105" s="257">
        <v>98232</v>
      </c>
    </row>
    <row r="106" spans="1:11" x14ac:dyDescent="0.25">
      <c r="A106" s="50">
        <v>431807</v>
      </c>
      <c r="B106" s="121">
        <v>56965</v>
      </c>
      <c r="C106" s="123">
        <v>56483</v>
      </c>
      <c r="D106" s="122" t="s">
        <v>153</v>
      </c>
      <c r="E106" s="255">
        <v>540991</v>
      </c>
      <c r="F106" s="256">
        <v>98232</v>
      </c>
      <c r="G106" s="257">
        <v>97395</v>
      </c>
      <c r="H106" t="s">
        <v>153</v>
      </c>
      <c r="I106" s="255">
        <v>749442</v>
      </c>
      <c r="J106" s="256">
        <v>175433</v>
      </c>
      <c r="K106" s="257">
        <v>97395</v>
      </c>
    </row>
    <row r="107" spans="1:11" x14ac:dyDescent="0.25">
      <c r="A107" s="50">
        <v>432077</v>
      </c>
      <c r="B107" s="121">
        <v>56483</v>
      </c>
      <c r="C107" s="123">
        <v>55998</v>
      </c>
      <c r="D107" s="122" t="s">
        <v>153</v>
      </c>
      <c r="E107" s="255">
        <v>541329</v>
      </c>
      <c r="F107" s="256">
        <v>97395</v>
      </c>
      <c r="G107" s="257">
        <v>96563</v>
      </c>
      <c r="H107" t="s">
        <v>153</v>
      </c>
      <c r="I107" s="255">
        <v>749909</v>
      </c>
      <c r="J107" s="256">
        <v>173936</v>
      </c>
      <c r="K107" s="257">
        <v>96563</v>
      </c>
    </row>
    <row r="108" spans="1:11" x14ac:dyDescent="0.25">
      <c r="A108" s="50">
        <v>432346</v>
      </c>
      <c r="B108" s="121">
        <v>55998</v>
      </c>
      <c r="C108" s="123">
        <v>55515</v>
      </c>
      <c r="D108" s="122" t="s">
        <v>153</v>
      </c>
      <c r="E108" s="255">
        <v>541666</v>
      </c>
      <c r="F108" s="256">
        <v>96563</v>
      </c>
      <c r="G108" s="257">
        <v>95730</v>
      </c>
      <c r="H108" t="s">
        <v>153</v>
      </c>
      <c r="I108" s="255">
        <v>750377</v>
      </c>
      <c r="J108" s="256">
        <v>172435</v>
      </c>
      <c r="K108" s="257">
        <v>95730</v>
      </c>
    </row>
    <row r="109" spans="1:11" x14ac:dyDescent="0.25">
      <c r="A109" s="50">
        <v>432616</v>
      </c>
      <c r="B109" s="121">
        <v>55515</v>
      </c>
      <c r="C109" s="123">
        <v>55034</v>
      </c>
      <c r="D109" s="122" t="s">
        <v>153</v>
      </c>
      <c r="E109" s="255">
        <v>542005</v>
      </c>
      <c r="F109" s="256">
        <v>95730</v>
      </c>
      <c r="G109" s="257">
        <v>94898</v>
      </c>
      <c r="H109" t="s">
        <v>153</v>
      </c>
      <c r="I109" s="255">
        <v>750845</v>
      </c>
      <c r="J109" s="256">
        <v>170936</v>
      </c>
      <c r="K109" s="257">
        <v>94898</v>
      </c>
    </row>
    <row r="110" spans="1:11" x14ac:dyDescent="0.25">
      <c r="A110" s="50">
        <v>432886</v>
      </c>
      <c r="B110" s="121">
        <v>55034</v>
      </c>
      <c r="C110" s="123">
        <v>54553</v>
      </c>
      <c r="D110" s="122" t="s">
        <v>153</v>
      </c>
      <c r="E110" s="255">
        <v>542343</v>
      </c>
      <c r="F110" s="256">
        <v>94898</v>
      </c>
      <c r="G110" s="257">
        <v>94073</v>
      </c>
      <c r="H110" t="s">
        <v>153</v>
      </c>
      <c r="I110" s="255">
        <v>751310</v>
      </c>
      <c r="J110" s="256">
        <v>169452</v>
      </c>
      <c r="K110" s="257">
        <v>94073</v>
      </c>
    </row>
    <row r="111" spans="1:11" x14ac:dyDescent="0.25">
      <c r="A111" s="50">
        <v>433154</v>
      </c>
      <c r="B111" s="121">
        <v>54553</v>
      </c>
      <c r="C111" s="123">
        <v>54074</v>
      </c>
      <c r="D111" s="122" t="s">
        <v>153</v>
      </c>
      <c r="E111" s="255">
        <v>542679</v>
      </c>
      <c r="F111" s="256">
        <v>94073</v>
      </c>
      <c r="G111" s="257">
        <v>93243</v>
      </c>
      <c r="H111" t="s">
        <v>153</v>
      </c>
      <c r="I111" s="255">
        <v>751779</v>
      </c>
      <c r="J111" s="256">
        <v>167958</v>
      </c>
      <c r="K111" s="257">
        <v>93243</v>
      </c>
    </row>
    <row r="112" spans="1:11" x14ac:dyDescent="0.25">
      <c r="A112" s="50">
        <v>433424</v>
      </c>
      <c r="B112" s="121">
        <v>54074</v>
      </c>
      <c r="C112" s="123">
        <v>53594</v>
      </c>
      <c r="D112" s="122" t="s">
        <v>153</v>
      </c>
      <c r="E112" s="255">
        <v>543017</v>
      </c>
      <c r="F112" s="256">
        <v>93243</v>
      </c>
      <c r="G112" s="257">
        <v>92415</v>
      </c>
      <c r="H112" t="s">
        <v>153</v>
      </c>
      <c r="I112" s="255">
        <v>752247</v>
      </c>
      <c r="J112" s="256">
        <v>166466</v>
      </c>
      <c r="K112" s="257">
        <v>92415</v>
      </c>
    </row>
    <row r="113" spans="1:11" x14ac:dyDescent="0.25">
      <c r="A113" s="50">
        <v>433694</v>
      </c>
      <c r="B113" s="121">
        <v>53594</v>
      </c>
      <c r="C113" s="123">
        <v>53115</v>
      </c>
      <c r="D113" s="122" t="s">
        <v>153</v>
      </c>
      <c r="E113" s="255">
        <v>543355</v>
      </c>
      <c r="F113" s="256">
        <v>92415</v>
      </c>
      <c r="G113" s="257">
        <v>91594</v>
      </c>
      <c r="H113" t="s">
        <v>153</v>
      </c>
      <c r="I113" s="255">
        <v>752712</v>
      </c>
      <c r="J113" s="256">
        <v>164988</v>
      </c>
      <c r="K113" s="257">
        <v>91594</v>
      </c>
    </row>
    <row r="114" spans="1:11" x14ac:dyDescent="0.25">
      <c r="A114" s="50">
        <v>433962</v>
      </c>
      <c r="B114" s="121">
        <v>53115</v>
      </c>
      <c r="C114" s="123">
        <v>52639</v>
      </c>
      <c r="D114" s="122" t="s">
        <v>153</v>
      </c>
      <c r="E114" s="255">
        <v>543691</v>
      </c>
      <c r="F114" s="256">
        <v>91594</v>
      </c>
      <c r="G114" s="257">
        <v>90768</v>
      </c>
      <c r="H114" t="s">
        <v>153</v>
      </c>
      <c r="I114" s="255">
        <v>753180</v>
      </c>
      <c r="J114" s="256">
        <v>163502</v>
      </c>
      <c r="K114" s="257">
        <v>90768</v>
      </c>
    </row>
    <row r="115" spans="1:11" x14ac:dyDescent="0.25">
      <c r="A115" s="50">
        <v>434232</v>
      </c>
      <c r="B115" s="121">
        <v>52639</v>
      </c>
      <c r="C115" s="123">
        <v>52162</v>
      </c>
      <c r="D115" s="122" t="s">
        <v>153</v>
      </c>
      <c r="E115" s="255">
        <v>544029</v>
      </c>
      <c r="F115" s="256">
        <v>90768</v>
      </c>
      <c r="G115" s="257">
        <v>89947</v>
      </c>
      <c r="H115" t="s">
        <v>153</v>
      </c>
      <c r="I115" s="255">
        <v>753647</v>
      </c>
      <c r="J115" s="256">
        <v>162023</v>
      </c>
      <c r="K115" s="257">
        <v>89947</v>
      </c>
    </row>
    <row r="116" spans="1:11" x14ac:dyDescent="0.25">
      <c r="A116" s="50">
        <v>434501</v>
      </c>
      <c r="B116" s="121">
        <v>52162</v>
      </c>
      <c r="C116" s="123">
        <v>51684</v>
      </c>
      <c r="D116" s="122" t="s">
        <v>153</v>
      </c>
      <c r="E116" s="255">
        <v>544366</v>
      </c>
      <c r="F116" s="256">
        <v>89947</v>
      </c>
      <c r="G116" s="257">
        <v>89124</v>
      </c>
      <c r="H116" t="s">
        <v>153</v>
      </c>
      <c r="I116" s="255">
        <v>754115</v>
      </c>
      <c r="J116" s="256">
        <v>160540</v>
      </c>
      <c r="K116" s="257">
        <v>89124</v>
      </c>
    </row>
    <row r="117" spans="1:11" x14ac:dyDescent="0.25">
      <c r="A117" s="50">
        <v>434771</v>
      </c>
      <c r="B117" s="121">
        <v>51684</v>
      </c>
      <c r="C117" s="123">
        <v>51209</v>
      </c>
      <c r="D117" s="122" t="s">
        <v>153</v>
      </c>
      <c r="E117" s="255">
        <v>544704</v>
      </c>
      <c r="F117" s="256">
        <v>89124</v>
      </c>
      <c r="G117" s="257">
        <v>88301</v>
      </c>
      <c r="H117" t="s">
        <v>153</v>
      </c>
      <c r="I117" s="255">
        <v>754583</v>
      </c>
      <c r="J117" s="256">
        <v>159060</v>
      </c>
      <c r="K117" s="257">
        <v>88301</v>
      </c>
    </row>
    <row r="118" spans="1:11" x14ac:dyDescent="0.25">
      <c r="A118" s="50">
        <v>435041</v>
      </c>
      <c r="B118" s="121">
        <v>51209</v>
      </c>
      <c r="C118" s="123">
        <v>50735</v>
      </c>
      <c r="D118" s="122" t="s">
        <v>153</v>
      </c>
      <c r="E118" s="255">
        <v>545043</v>
      </c>
      <c r="F118" s="256">
        <v>88301</v>
      </c>
      <c r="G118" s="257">
        <v>87487</v>
      </c>
      <c r="H118" t="s">
        <v>153</v>
      </c>
      <c r="I118" s="255">
        <v>755048</v>
      </c>
      <c r="J118" s="256">
        <v>157593</v>
      </c>
      <c r="K118" s="257">
        <v>87487</v>
      </c>
    </row>
    <row r="119" spans="1:11" x14ac:dyDescent="0.25">
      <c r="A119" s="50">
        <v>435309</v>
      </c>
      <c r="B119" s="121">
        <v>50735</v>
      </c>
      <c r="C119" s="123">
        <v>50261</v>
      </c>
      <c r="D119" s="122" t="s">
        <v>153</v>
      </c>
      <c r="E119" s="255">
        <v>545378</v>
      </c>
      <c r="F119" s="256">
        <v>87487</v>
      </c>
      <c r="G119" s="257">
        <v>86667</v>
      </c>
      <c r="H119" t="s">
        <v>153</v>
      </c>
      <c r="I119" s="255">
        <v>755516</v>
      </c>
      <c r="J119" s="256">
        <v>156118</v>
      </c>
      <c r="K119" s="257">
        <v>86667</v>
      </c>
    </row>
    <row r="120" spans="1:11" x14ac:dyDescent="0.25">
      <c r="A120" s="50">
        <v>435579</v>
      </c>
      <c r="B120" s="121">
        <v>50261</v>
      </c>
      <c r="C120" s="123">
        <v>49785</v>
      </c>
      <c r="D120" s="122" t="s">
        <v>153</v>
      </c>
      <c r="E120" s="255">
        <v>545717</v>
      </c>
      <c r="F120" s="256">
        <v>86667</v>
      </c>
      <c r="G120" s="257">
        <v>85849</v>
      </c>
      <c r="H120" t="s">
        <v>153</v>
      </c>
      <c r="I120" s="255">
        <v>755985</v>
      </c>
      <c r="J120" s="256">
        <v>154644</v>
      </c>
      <c r="K120" s="257">
        <v>85849</v>
      </c>
    </row>
    <row r="121" spans="1:11" x14ac:dyDescent="0.25">
      <c r="A121" s="50">
        <v>435849</v>
      </c>
      <c r="B121" s="121">
        <v>49785</v>
      </c>
      <c r="C121" s="123">
        <v>49315</v>
      </c>
      <c r="D121" s="122" t="s">
        <v>153</v>
      </c>
      <c r="E121" s="255">
        <v>546055</v>
      </c>
      <c r="F121" s="256">
        <v>85849</v>
      </c>
      <c r="G121" s="257">
        <v>85037</v>
      </c>
      <c r="H121" t="s">
        <v>153</v>
      </c>
      <c r="I121" s="255">
        <v>756450</v>
      </c>
      <c r="J121" s="256">
        <v>153184</v>
      </c>
      <c r="K121" s="257">
        <v>85037</v>
      </c>
    </row>
    <row r="122" spans="1:11" x14ac:dyDescent="0.25">
      <c r="A122" s="50">
        <v>436117</v>
      </c>
      <c r="B122" s="121">
        <v>49315</v>
      </c>
      <c r="C122" s="123">
        <v>48843</v>
      </c>
      <c r="D122" s="122" t="s">
        <v>153</v>
      </c>
      <c r="E122" s="255">
        <v>546391</v>
      </c>
      <c r="F122" s="256">
        <v>85037</v>
      </c>
      <c r="G122" s="257">
        <v>84221</v>
      </c>
      <c r="H122" t="s">
        <v>153</v>
      </c>
      <c r="I122" s="255">
        <v>756918</v>
      </c>
      <c r="J122" s="256">
        <v>151714</v>
      </c>
      <c r="K122" s="257">
        <v>84221</v>
      </c>
    </row>
    <row r="123" spans="1:11" x14ac:dyDescent="0.25">
      <c r="A123" s="50">
        <v>436387</v>
      </c>
      <c r="B123" s="121">
        <v>48843</v>
      </c>
      <c r="C123" s="123">
        <v>48372</v>
      </c>
      <c r="D123" s="122" t="s">
        <v>153</v>
      </c>
      <c r="E123" s="255">
        <v>546729</v>
      </c>
      <c r="F123" s="256">
        <v>84221</v>
      </c>
      <c r="G123" s="257">
        <v>83409</v>
      </c>
      <c r="H123" t="s">
        <v>153</v>
      </c>
      <c r="I123" s="255">
        <v>757385</v>
      </c>
      <c r="J123" s="256">
        <v>150252</v>
      </c>
      <c r="K123" s="257">
        <v>83409</v>
      </c>
    </row>
    <row r="124" spans="1:11" x14ac:dyDescent="0.25">
      <c r="A124" s="50">
        <v>436656</v>
      </c>
      <c r="B124" s="121">
        <v>48372</v>
      </c>
      <c r="C124" s="123">
        <v>47900</v>
      </c>
      <c r="D124" s="122" t="s">
        <v>153</v>
      </c>
      <c r="E124" s="255">
        <v>547066</v>
      </c>
      <c r="F124" s="256">
        <v>83409</v>
      </c>
      <c r="G124" s="257">
        <v>82596</v>
      </c>
      <c r="H124" t="s">
        <v>153</v>
      </c>
      <c r="I124" s="255">
        <v>757853</v>
      </c>
      <c r="J124" s="256">
        <v>148787</v>
      </c>
      <c r="K124" s="257">
        <v>82596</v>
      </c>
    </row>
    <row r="125" spans="1:11" x14ac:dyDescent="0.25">
      <c r="A125" s="50">
        <v>436926</v>
      </c>
      <c r="B125" s="121">
        <v>47900</v>
      </c>
      <c r="C125" s="123">
        <v>47428</v>
      </c>
      <c r="D125" s="122" t="s">
        <v>153</v>
      </c>
      <c r="E125" s="255">
        <v>547404</v>
      </c>
      <c r="F125" s="256">
        <v>82596</v>
      </c>
      <c r="G125" s="257">
        <v>81783</v>
      </c>
      <c r="H125" t="s">
        <v>153</v>
      </c>
      <c r="I125" s="255">
        <v>758321</v>
      </c>
      <c r="J125" s="256">
        <v>147324</v>
      </c>
      <c r="K125" s="257">
        <v>81783</v>
      </c>
    </row>
    <row r="126" spans="1:11" x14ac:dyDescent="0.25">
      <c r="A126" s="50">
        <v>437196</v>
      </c>
      <c r="B126" s="121">
        <v>47428</v>
      </c>
      <c r="C126" s="123">
        <v>46959</v>
      </c>
      <c r="D126" s="122" t="s">
        <v>153</v>
      </c>
      <c r="E126" s="255">
        <v>547743</v>
      </c>
      <c r="F126" s="256">
        <v>81783</v>
      </c>
      <c r="G126" s="257">
        <v>80977</v>
      </c>
      <c r="H126" t="s">
        <v>153</v>
      </c>
      <c r="I126" s="255">
        <v>758786</v>
      </c>
      <c r="J126" s="256">
        <v>145874</v>
      </c>
      <c r="K126" s="257">
        <v>80977</v>
      </c>
    </row>
    <row r="127" spans="1:11" x14ac:dyDescent="0.25">
      <c r="A127" s="50">
        <v>437464</v>
      </c>
      <c r="B127" s="121">
        <v>46959</v>
      </c>
      <c r="C127" s="123">
        <v>46491</v>
      </c>
      <c r="D127" s="122" t="s">
        <v>153</v>
      </c>
      <c r="E127" s="255">
        <v>548078</v>
      </c>
      <c r="F127" s="256">
        <v>80977</v>
      </c>
      <c r="G127" s="257">
        <v>80167</v>
      </c>
      <c r="H127" t="s">
        <v>153</v>
      </c>
      <c r="I127" s="255">
        <v>759254</v>
      </c>
      <c r="J127" s="256">
        <v>144415</v>
      </c>
      <c r="K127" s="257">
        <v>80167</v>
      </c>
    </row>
    <row r="128" spans="1:11" x14ac:dyDescent="0.25">
      <c r="A128" s="50">
        <v>437734</v>
      </c>
      <c r="B128" s="121">
        <v>46491</v>
      </c>
      <c r="C128" s="123">
        <v>46022</v>
      </c>
      <c r="D128" s="122" t="s">
        <v>153</v>
      </c>
      <c r="E128" s="255">
        <v>548417</v>
      </c>
      <c r="F128" s="256">
        <v>80167</v>
      </c>
      <c r="G128" s="257">
        <v>79358</v>
      </c>
      <c r="H128" t="s">
        <v>153</v>
      </c>
      <c r="I128" s="255">
        <v>759723</v>
      </c>
      <c r="J128" s="256">
        <v>142957</v>
      </c>
      <c r="K128" s="257">
        <v>79358</v>
      </c>
    </row>
    <row r="129" spans="1:11" x14ac:dyDescent="0.25">
      <c r="A129" s="50">
        <v>438004</v>
      </c>
      <c r="B129" s="121">
        <v>46022</v>
      </c>
      <c r="C129" s="123">
        <v>45554</v>
      </c>
      <c r="D129" s="122" t="s">
        <v>153</v>
      </c>
      <c r="E129" s="255">
        <v>548755</v>
      </c>
      <c r="F129" s="256">
        <v>79358</v>
      </c>
      <c r="G129" s="257">
        <v>78555</v>
      </c>
      <c r="H129" t="s">
        <v>153</v>
      </c>
      <c r="I129" s="255">
        <v>760188</v>
      </c>
      <c r="J129" s="256">
        <v>141513</v>
      </c>
      <c r="K129" s="257">
        <v>78555</v>
      </c>
    </row>
    <row r="130" spans="1:11" x14ac:dyDescent="0.25">
      <c r="A130" s="50">
        <v>438272</v>
      </c>
      <c r="B130" s="121">
        <v>45554</v>
      </c>
      <c r="C130" s="123">
        <v>45089</v>
      </c>
      <c r="D130" s="122" t="s">
        <v>153</v>
      </c>
      <c r="E130" s="255">
        <v>549091</v>
      </c>
      <c r="F130" s="256">
        <v>78555</v>
      </c>
      <c r="G130" s="257">
        <v>77748</v>
      </c>
      <c r="H130" t="s">
        <v>153</v>
      </c>
      <c r="I130" s="255">
        <v>760656</v>
      </c>
      <c r="J130" s="256">
        <v>140060</v>
      </c>
      <c r="K130" s="257">
        <v>77748</v>
      </c>
    </row>
    <row r="131" spans="1:11" x14ac:dyDescent="0.25">
      <c r="A131" s="50">
        <v>438542</v>
      </c>
      <c r="B131" s="121">
        <v>45089</v>
      </c>
      <c r="C131" s="123">
        <v>44622</v>
      </c>
      <c r="D131" s="122" t="s">
        <v>153</v>
      </c>
      <c r="E131" s="255">
        <v>549429</v>
      </c>
      <c r="F131" s="256">
        <v>77748</v>
      </c>
      <c r="G131" s="257">
        <v>76945</v>
      </c>
      <c r="H131" t="s">
        <v>153</v>
      </c>
      <c r="I131" s="255">
        <v>761122</v>
      </c>
      <c r="J131" s="256">
        <v>138614</v>
      </c>
      <c r="K131" s="257">
        <v>76945</v>
      </c>
    </row>
    <row r="132" spans="1:11" x14ac:dyDescent="0.25">
      <c r="A132" s="50">
        <v>438811</v>
      </c>
      <c r="B132" s="121">
        <v>44622</v>
      </c>
      <c r="C132" s="123">
        <v>44155</v>
      </c>
      <c r="D132" s="122" t="s">
        <v>153</v>
      </c>
      <c r="E132" s="255">
        <v>549766</v>
      </c>
      <c r="F132" s="256">
        <v>76945</v>
      </c>
      <c r="G132" s="257">
        <v>76140</v>
      </c>
      <c r="H132" t="s">
        <v>153</v>
      </c>
      <c r="I132" s="255">
        <v>761591</v>
      </c>
      <c r="J132" s="256">
        <v>137164</v>
      </c>
      <c r="K132" s="257">
        <v>76140</v>
      </c>
    </row>
    <row r="133" spans="1:11" x14ac:dyDescent="0.25">
      <c r="A133" s="50">
        <v>439081</v>
      </c>
      <c r="B133" s="121">
        <v>44155</v>
      </c>
      <c r="C133" s="123">
        <v>43690</v>
      </c>
      <c r="D133" s="122" t="s">
        <v>153</v>
      </c>
      <c r="E133" s="255">
        <v>550104</v>
      </c>
      <c r="F133" s="256">
        <v>76140</v>
      </c>
      <c r="G133" s="257">
        <v>75336</v>
      </c>
      <c r="H133" t="s">
        <v>153</v>
      </c>
      <c r="I133" s="255">
        <v>762059</v>
      </c>
      <c r="J133" s="256">
        <v>135717</v>
      </c>
      <c r="K133" s="257">
        <v>75336</v>
      </c>
    </row>
    <row r="134" spans="1:11" x14ac:dyDescent="0.25">
      <c r="A134" s="50">
        <v>439351</v>
      </c>
      <c r="B134" s="121">
        <v>43690</v>
      </c>
      <c r="C134" s="123">
        <v>43227</v>
      </c>
      <c r="D134" s="122" t="s">
        <v>153</v>
      </c>
      <c r="E134" s="255">
        <v>550443</v>
      </c>
      <c r="F134" s="256">
        <v>75336</v>
      </c>
      <c r="G134" s="257">
        <v>74539</v>
      </c>
      <c r="H134" t="s">
        <v>153</v>
      </c>
      <c r="I134" s="255">
        <v>762524</v>
      </c>
      <c r="J134" s="256">
        <v>134282</v>
      </c>
      <c r="K134" s="257">
        <v>74539</v>
      </c>
    </row>
    <row r="135" spans="1:11" x14ac:dyDescent="0.25">
      <c r="A135" s="50">
        <v>439619</v>
      </c>
      <c r="B135" s="121">
        <v>43227</v>
      </c>
      <c r="C135" s="123">
        <v>42764</v>
      </c>
      <c r="D135" s="122" t="s">
        <v>153</v>
      </c>
      <c r="E135" s="255">
        <v>550778</v>
      </c>
      <c r="F135" s="256">
        <v>74539</v>
      </c>
      <c r="G135" s="257">
        <v>73737</v>
      </c>
      <c r="H135" t="s">
        <v>153</v>
      </c>
      <c r="I135" s="255">
        <v>762992</v>
      </c>
      <c r="J135" s="256">
        <v>132838</v>
      </c>
      <c r="K135" s="257">
        <v>73737</v>
      </c>
    </row>
    <row r="136" spans="1:11" x14ac:dyDescent="0.25">
      <c r="A136" s="50">
        <v>439889</v>
      </c>
      <c r="B136" s="121">
        <v>42764</v>
      </c>
      <c r="C136" s="123">
        <v>42301</v>
      </c>
      <c r="D136" s="122" t="s">
        <v>153</v>
      </c>
      <c r="E136" s="255">
        <v>551117</v>
      </c>
      <c r="F136" s="256">
        <v>73737</v>
      </c>
      <c r="G136" s="257">
        <v>72936</v>
      </c>
      <c r="H136" t="s">
        <v>153</v>
      </c>
      <c r="I136" s="255">
        <v>763461</v>
      </c>
      <c r="J136" s="256">
        <v>131396</v>
      </c>
      <c r="K136" s="257">
        <v>72936</v>
      </c>
    </row>
    <row r="137" spans="1:11" x14ac:dyDescent="0.25">
      <c r="A137" s="50">
        <v>440159</v>
      </c>
      <c r="B137" s="121">
        <v>42301</v>
      </c>
      <c r="C137" s="123">
        <v>41836</v>
      </c>
      <c r="D137" s="122" t="s">
        <v>153</v>
      </c>
      <c r="E137" s="255">
        <v>551455</v>
      </c>
      <c r="F137" s="256">
        <v>72936</v>
      </c>
      <c r="G137" s="257">
        <v>72142</v>
      </c>
      <c r="H137" t="s">
        <v>153</v>
      </c>
      <c r="I137" s="255">
        <v>763925</v>
      </c>
      <c r="J137" s="256">
        <v>129967</v>
      </c>
      <c r="K137" s="257">
        <v>72142</v>
      </c>
    </row>
    <row r="138" spans="1:11" x14ac:dyDescent="0.25">
      <c r="A138" s="50">
        <v>440427</v>
      </c>
      <c r="B138" s="121">
        <v>41836</v>
      </c>
      <c r="C138" s="123">
        <v>41373</v>
      </c>
      <c r="D138" s="122" t="s">
        <v>153</v>
      </c>
      <c r="E138" s="255">
        <v>551791</v>
      </c>
      <c r="F138" s="256">
        <v>72142</v>
      </c>
      <c r="G138" s="257">
        <v>71343</v>
      </c>
      <c r="H138" t="s">
        <v>153</v>
      </c>
      <c r="I138" s="255">
        <v>764394</v>
      </c>
      <c r="J138" s="256">
        <v>128529</v>
      </c>
      <c r="K138" s="257">
        <v>71343</v>
      </c>
    </row>
    <row r="139" spans="1:11" x14ac:dyDescent="0.25">
      <c r="A139" s="50">
        <v>440697</v>
      </c>
      <c r="B139" s="121">
        <v>41373</v>
      </c>
      <c r="C139" s="123">
        <v>40913</v>
      </c>
      <c r="D139" s="122" t="s">
        <v>153</v>
      </c>
      <c r="E139" s="255">
        <v>552129</v>
      </c>
      <c r="F139" s="256">
        <v>71343</v>
      </c>
      <c r="G139" s="257">
        <v>70549</v>
      </c>
      <c r="H139" t="s">
        <v>153</v>
      </c>
      <c r="I139" s="255">
        <v>764860</v>
      </c>
      <c r="J139" s="256">
        <v>127098</v>
      </c>
      <c r="K139" s="257">
        <v>70549</v>
      </c>
    </row>
    <row r="140" spans="1:11" x14ac:dyDescent="0.25">
      <c r="A140" s="50">
        <v>440966</v>
      </c>
      <c r="B140" s="121">
        <v>40913</v>
      </c>
      <c r="C140" s="123">
        <v>40451</v>
      </c>
      <c r="D140" s="122" t="s">
        <v>153</v>
      </c>
      <c r="E140" s="255">
        <v>552466</v>
      </c>
      <c r="F140" s="256">
        <v>70549</v>
      </c>
      <c r="G140" s="257">
        <v>69752</v>
      </c>
      <c r="H140" t="s">
        <v>153</v>
      </c>
      <c r="I140" s="255">
        <v>765329</v>
      </c>
      <c r="J140" s="256">
        <v>125663</v>
      </c>
      <c r="K140" s="257">
        <v>69752</v>
      </c>
    </row>
    <row r="141" spans="1:11" x14ac:dyDescent="0.25">
      <c r="A141" s="50">
        <v>441236</v>
      </c>
      <c r="B141" s="121">
        <v>40451</v>
      </c>
      <c r="C141" s="123">
        <v>39992</v>
      </c>
      <c r="D141" s="122" t="s">
        <v>153</v>
      </c>
      <c r="E141" s="255">
        <v>552804</v>
      </c>
      <c r="F141" s="256">
        <v>69752</v>
      </c>
      <c r="G141" s="257">
        <v>68956</v>
      </c>
      <c r="H141" t="s">
        <v>153</v>
      </c>
      <c r="I141" s="255">
        <v>765797</v>
      </c>
      <c r="J141" s="256">
        <v>124230</v>
      </c>
      <c r="K141" s="257">
        <v>68956</v>
      </c>
    </row>
    <row r="142" spans="1:11" x14ac:dyDescent="0.25">
      <c r="A142" s="50">
        <v>441506</v>
      </c>
      <c r="B142" s="121">
        <v>39992</v>
      </c>
      <c r="C142" s="123">
        <v>39530</v>
      </c>
      <c r="D142" s="122" t="s">
        <v>153</v>
      </c>
      <c r="E142" s="255">
        <v>553142</v>
      </c>
      <c r="F142" s="256">
        <v>68956</v>
      </c>
      <c r="G142" s="257">
        <v>68167</v>
      </c>
      <c r="H142" t="s">
        <v>153</v>
      </c>
      <c r="I142" s="255">
        <v>766262</v>
      </c>
      <c r="J142" s="256">
        <v>122809</v>
      </c>
      <c r="K142" s="257">
        <v>68167</v>
      </c>
    </row>
    <row r="143" spans="1:11" x14ac:dyDescent="0.25">
      <c r="A143" s="50">
        <v>441774</v>
      </c>
      <c r="B143" s="121">
        <v>39530</v>
      </c>
      <c r="C143" s="123">
        <v>39073</v>
      </c>
      <c r="D143" s="122" t="s">
        <v>153</v>
      </c>
      <c r="E143" s="255">
        <v>553478</v>
      </c>
      <c r="F143" s="256">
        <v>68167</v>
      </c>
      <c r="G143" s="257">
        <v>67373</v>
      </c>
      <c r="H143" t="s">
        <v>153</v>
      </c>
      <c r="I143" s="255">
        <v>766730</v>
      </c>
      <c r="J143" s="256">
        <v>121380</v>
      </c>
      <c r="K143" s="257">
        <v>67373</v>
      </c>
    </row>
    <row r="144" spans="1:11" x14ac:dyDescent="0.25">
      <c r="A144" s="50">
        <v>442044</v>
      </c>
      <c r="B144" s="121">
        <v>39073</v>
      </c>
      <c r="C144" s="123">
        <v>38613</v>
      </c>
      <c r="D144" s="122" t="s">
        <v>153</v>
      </c>
      <c r="E144" s="255">
        <v>553816</v>
      </c>
      <c r="F144" s="256">
        <v>67373</v>
      </c>
      <c r="G144" s="257">
        <v>66580</v>
      </c>
      <c r="H144" t="s">
        <v>153</v>
      </c>
      <c r="I144" s="255">
        <v>767198</v>
      </c>
      <c r="J144" s="256">
        <v>119952</v>
      </c>
      <c r="K144" s="257">
        <v>66580</v>
      </c>
    </row>
    <row r="145" spans="1:11" x14ac:dyDescent="0.25">
      <c r="A145" s="50">
        <v>442314</v>
      </c>
      <c r="B145" s="121">
        <v>38613</v>
      </c>
      <c r="C145" s="123">
        <v>38153</v>
      </c>
      <c r="D145" s="122" t="s">
        <v>153</v>
      </c>
      <c r="E145" s="255">
        <v>554155</v>
      </c>
      <c r="F145" s="256">
        <v>66580</v>
      </c>
      <c r="G145" s="257">
        <v>65794</v>
      </c>
      <c r="H145" t="s">
        <v>153</v>
      </c>
      <c r="I145" s="255">
        <v>767663</v>
      </c>
      <c r="J145" s="256">
        <v>118537</v>
      </c>
      <c r="K145" s="257">
        <v>65794</v>
      </c>
    </row>
    <row r="146" spans="1:11" x14ac:dyDescent="0.25">
      <c r="A146" s="50">
        <v>442582</v>
      </c>
      <c r="B146" s="121">
        <v>38153</v>
      </c>
      <c r="C146" s="123">
        <v>37696</v>
      </c>
      <c r="D146" s="122" t="s">
        <v>153</v>
      </c>
      <c r="E146" s="255">
        <v>554490</v>
      </c>
      <c r="F146" s="256">
        <v>65794</v>
      </c>
      <c r="G146" s="257">
        <v>65003</v>
      </c>
      <c r="H146" t="s">
        <v>153</v>
      </c>
      <c r="I146" s="255">
        <v>768132</v>
      </c>
      <c r="J146" s="256">
        <v>117112</v>
      </c>
      <c r="K146" s="257">
        <v>65003</v>
      </c>
    </row>
    <row r="147" spans="1:11" x14ac:dyDescent="0.25">
      <c r="A147" s="50">
        <v>442852</v>
      </c>
      <c r="B147" s="121">
        <v>37696</v>
      </c>
      <c r="C147" s="123">
        <v>37238</v>
      </c>
      <c r="D147" s="122" t="s">
        <v>153</v>
      </c>
      <c r="E147" s="255">
        <v>554829</v>
      </c>
      <c r="F147" s="256">
        <v>65003</v>
      </c>
      <c r="G147" s="257">
        <v>64215</v>
      </c>
      <c r="H147" t="s">
        <v>153</v>
      </c>
      <c r="I147" s="255">
        <v>768598</v>
      </c>
      <c r="J147" s="256">
        <v>115695</v>
      </c>
      <c r="K147" s="257">
        <v>64215</v>
      </c>
    </row>
    <row r="148" spans="1:11" x14ac:dyDescent="0.25">
      <c r="A148" s="50">
        <v>443121</v>
      </c>
      <c r="B148" s="121">
        <v>37238</v>
      </c>
      <c r="C148" s="123">
        <v>36784</v>
      </c>
      <c r="D148" s="122" t="s">
        <v>153</v>
      </c>
      <c r="E148" s="255">
        <v>555166</v>
      </c>
      <c r="F148" s="256">
        <v>64215</v>
      </c>
      <c r="G148" s="257">
        <v>63426</v>
      </c>
      <c r="H148" t="s">
        <v>153</v>
      </c>
      <c r="I148" s="255">
        <v>769066</v>
      </c>
      <c r="J148" s="256">
        <v>114274</v>
      </c>
      <c r="K148" s="257">
        <v>63426</v>
      </c>
    </row>
    <row r="149" spans="1:11" x14ac:dyDescent="0.25">
      <c r="A149" s="50">
        <v>443391</v>
      </c>
      <c r="B149" s="121">
        <v>36784</v>
      </c>
      <c r="C149" s="123">
        <v>36327</v>
      </c>
      <c r="D149" s="122" t="s">
        <v>153</v>
      </c>
      <c r="E149" s="255">
        <v>555504</v>
      </c>
      <c r="F149" s="256">
        <v>63426</v>
      </c>
      <c r="G149" s="257">
        <v>62638</v>
      </c>
      <c r="H149" t="s">
        <v>153</v>
      </c>
      <c r="I149" s="255">
        <v>769535</v>
      </c>
      <c r="J149" s="256">
        <v>112855</v>
      </c>
      <c r="K149" s="257">
        <v>62638</v>
      </c>
    </row>
    <row r="150" spans="1:11" x14ac:dyDescent="0.25">
      <c r="A150" s="50">
        <v>443661</v>
      </c>
      <c r="B150" s="121">
        <v>36327</v>
      </c>
      <c r="C150" s="123">
        <v>35873</v>
      </c>
      <c r="D150" s="122" t="s">
        <v>153</v>
      </c>
      <c r="E150" s="255">
        <v>555842</v>
      </c>
      <c r="F150" s="256">
        <v>62638</v>
      </c>
      <c r="G150" s="257">
        <v>61856</v>
      </c>
      <c r="H150" t="s">
        <v>153</v>
      </c>
      <c r="I150" s="255">
        <v>770000</v>
      </c>
      <c r="J150" s="256">
        <v>111448</v>
      </c>
      <c r="K150" s="257">
        <v>61856</v>
      </c>
    </row>
    <row r="151" spans="1:11" x14ac:dyDescent="0.25">
      <c r="A151" s="50">
        <v>443929</v>
      </c>
      <c r="B151" s="121">
        <v>35873</v>
      </c>
      <c r="C151" s="123">
        <v>35417</v>
      </c>
      <c r="D151" s="122" t="s">
        <v>153</v>
      </c>
      <c r="E151" s="255">
        <v>556178</v>
      </c>
      <c r="F151" s="256">
        <v>61856</v>
      </c>
      <c r="G151" s="257">
        <v>61070</v>
      </c>
      <c r="H151" t="s">
        <v>153</v>
      </c>
      <c r="I151" s="255">
        <v>770468</v>
      </c>
      <c r="J151" s="256">
        <v>110032</v>
      </c>
      <c r="K151" s="257">
        <v>61070</v>
      </c>
    </row>
    <row r="152" spans="1:11" x14ac:dyDescent="0.25">
      <c r="A152" s="50">
        <v>444199</v>
      </c>
      <c r="B152" s="121">
        <v>35417</v>
      </c>
      <c r="C152" s="123">
        <v>34963</v>
      </c>
      <c r="D152" s="122" t="s">
        <v>153</v>
      </c>
      <c r="E152" s="255">
        <v>556516</v>
      </c>
      <c r="F152" s="256">
        <v>61070</v>
      </c>
      <c r="G152" s="257">
        <v>60284</v>
      </c>
      <c r="H152" t="s">
        <v>153</v>
      </c>
      <c r="I152" s="255">
        <v>770936</v>
      </c>
      <c r="J152" s="256">
        <v>108617</v>
      </c>
      <c r="K152" s="257">
        <v>60284</v>
      </c>
    </row>
    <row r="153" spans="1:11" x14ac:dyDescent="0.25">
      <c r="A153" s="50">
        <v>444469</v>
      </c>
      <c r="B153" s="121">
        <v>34963</v>
      </c>
      <c r="C153" s="123">
        <v>34507</v>
      </c>
      <c r="D153" s="122" t="s">
        <v>153</v>
      </c>
      <c r="E153" s="255">
        <v>556855</v>
      </c>
      <c r="F153" s="256">
        <v>60284</v>
      </c>
      <c r="G153" s="257">
        <v>59505</v>
      </c>
      <c r="H153" t="s">
        <v>153</v>
      </c>
      <c r="I153" s="255">
        <v>771401</v>
      </c>
      <c r="J153" s="256">
        <v>107215</v>
      </c>
      <c r="K153" s="257">
        <v>59505</v>
      </c>
    </row>
    <row r="154" spans="1:11" x14ac:dyDescent="0.25">
      <c r="A154" s="50">
        <v>444737</v>
      </c>
      <c r="B154" s="121">
        <v>34507</v>
      </c>
      <c r="C154" s="123">
        <v>34054</v>
      </c>
      <c r="D154" s="122" t="s">
        <v>153</v>
      </c>
      <c r="E154" s="255">
        <v>557190</v>
      </c>
      <c r="F154" s="256">
        <v>59505</v>
      </c>
      <c r="G154" s="257">
        <v>58721</v>
      </c>
      <c r="H154" t="s">
        <v>153</v>
      </c>
      <c r="I154" s="255">
        <v>771869</v>
      </c>
      <c r="J154" s="256">
        <v>105803</v>
      </c>
      <c r="K154" s="257">
        <v>58721</v>
      </c>
    </row>
    <row r="155" spans="1:11" x14ac:dyDescent="0.25">
      <c r="A155" s="50">
        <v>445007</v>
      </c>
      <c r="B155" s="121">
        <v>34054</v>
      </c>
      <c r="C155" s="123">
        <v>33602</v>
      </c>
      <c r="D155" s="122" t="s">
        <v>153</v>
      </c>
      <c r="E155" s="255">
        <v>557529</v>
      </c>
      <c r="F155" s="256">
        <v>58721</v>
      </c>
      <c r="G155" s="257">
        <v>57941</v>
      </c>
      <c r="H155" t="s">
        <v>153</v>
      </c>
      <c r="I155" s="255">
        <v>772336</v>
      </c>
      <c r="J155" s="256">
        <v>104399</v>
      </c>
      <c r="K155" s="257">
        <v>57941</v>
      </c>
    </row>
    <row r="156" spans="1:11" x14ac:dyDescent="0.25">
      <c r="A156" s="50">
        <v>445276</v>
      </c>
      <c r="B156" s="121">
        <v>33602</v>
      </c>
      <c r="C156" s="123">
        <v>33150</v>
      </c>
      <c r="D156" s="122" t="s">
        <v>153</v>
      </c>
      <c r="E156" s="255">
        <v>557866</v>
      </c>
      <c r="F156" s="256">
        <v>57941</v>
      </c>
      <c r="G156" s="257">
        <v>57159</v>
      </c>
      <c r="H156" t="s">
        <v>153</v>
      </c>
      <c r="I156" s="255">
        <v>772804</v>
      </c>
      <c r="J156" s="256">
        <v>102991</v>
      </c>
      <c r="K156" s="257">
        <v>57159</v>
      </c>
    </row>
    <row r="157" spans="1:11" x14ac:dyDescent="0.25">
      <c r="A157" s="50">
        <v>445546</v>
      </c>
      <c r="B157" s="121">
        <v>33150</v>
      </c>
      <c r="C157" s="123">
        <v>32697</v>
      </c>
      <c r="D157" s="122" t="s">
        <v>153</v>
      </c>
      <c r="E157" s="255">
        <v>558204</v>
      </c>
      <c r="F157" s="256">
        <v>57159</v>
      </c>
      <c r="G157" s="257">
        <v>56378</v>
      </c>
      <c r="H157" t="s">
        <v>153</v>
      </c>
      <c r="I157" s="255">
        <v>773273</v>
      </c>
      <c r="J157" s="256">
        <v>101584</v>
      </c>
      <c r="K157" s="257">
        <v>56378</v>
      </c>
    </row>
    <row r="158" spans="1:11" x14ac:dyDescent="0.25">
      <c r="A158" s="50">
        <v>445816</v>
      </c>
      <c r="B158" s="121">
        <v>32697</v>
      </c>
      <c r="C158" s="123">
        <v>32245</v>
      </c>
      <c r="D158" s="122" t="s">
        <v>153</v>
      </c>
      <c r="E158" s="255">
        <v>558542</v>
      </c>
      <c r="F158" s="256">
        <v>56378</v>
      </c>
      <c r="G158" s="257">
        <v>55603</v>
      </c>
      <c r="H158" t="s">
        <v>153</v>
      </c>
      <c r="I158" s="255">
        <v>773738</v>
      </c>
      <c r="J158" s="256">
        <v>100190</v>
      </c>
      <c r="K158" s="257">
        <v>55603</v>
      </c>
    </row>
    <row r="159" spans="1:11" x14ac:dyDescent="0.25">
      <c r="A159" s="50">
        <v>446084</v>
      </c>
      <c r="B159" s="121">
        <v>32245</v>
      </c>
      <c r="C159" s="123">
        <v>31794</v>
      </c>
      <c r="D159" s="122" t="s">
        <v>153</v>
      </c>
      <c r="E159" s="255">
        <v>558878</v>
      </c>
      <c r="F159" s="256">
        <v>55603</v>
      </c>
      <c r="G159" s="257">
        <v>54824</v>
      </c>
      <c r="H159" t="s">
        <v>153</v>
      </c>
      <c r="I159" s="255">
        <v>774206</v>
      </c>
      <c r="J159" s="256">
        <v>98786</v>
      </c>
      <c r="K159" s="257">
        <v>54824</v>
      </c>
    </row>
    <row r="160" spans="1:11" x14ac:dyDescent="0.25">
      <c r="A160" s="50">
        <v>446354</v>
      </c>
      <c r="B160" s="121">
        <v>31794</v>
      </c>
      <c r="C160" s="123">
        <v>31345</v>
      </c>
      <c r="D160" s="122" t="s">
        <v>153</v>
      </c>
      <c r="E160" s="255">
        <v>559216</v>
      </c>
      <c r="F160" s="256">
        <v>54824</v>
      </c>
      <c r="G160" s="257">
        <v>54045</v>
      </c>
      <c r="H160" t="s">
        <v>153</v>
      </c>
      <c r="I160" s="255">
        <v>774674</v>
      </c>
      <c r="J160" s="256">
        <v>97384</v>
      </c>
      <c r="K160" s="257">
        <v>54045</v>
      </c>
    </row>
    <row r="161" spans="1:11" x14ac:dyDescent="0.25">
      <c r="A161" s="50">
        <v>446624</v>
      </c>
      <c r="B161" s="121">
        <v>31345</v>
      </c>
      <c r="C161" s="123">
        <v>30894</v>
      </c>
      <c r="D161" s="122" t="s">
        <v>153</v>
      </c>
      <c r="E161" s="255">
        <v>559555</v>
      </c>
      <c r="F161" s="256">
        <v>54045</v>
      </c>
      <c r="G161" s="257">
        <v>53273</v>
      </c>
      <c r="H161" t="s">
        <v>153</v>
      </c>
      <c r="I161" s="255">
        <v>775139</v>
      </c>
      <c r="J161" s="256">
        <v>95994</v>
      </c>
      <c r="K161" s="257">
        <v>53273</v>
      </c>
    </row>
    <row r="162" spans="1:11" x14ac:dyDescent="0.25">
      <c r="A162" s="50">
        <v>446892</v>
      </c>
      <c r="B162" s="121">
        <v>30894</v>
      </c>
      <c r="C162" s="123">
        <v>30445</v>
      </c>
      <c r="D162" s="122" t="s">
        <v>153</v>
      </c>
      <c r="E162" s="255">
        <v>559890</v>
      </c>
      <c r="F162" s="256">
        <v>53273</v>
      </c>
      <c r="G162" s="257">
        <v>52496</v>
      </c>
      <c r="H162" t="s">
        <v>153</v>
      </c>
      <c r="I162" s="255">
        <v>775607</v>
      </c>
      <c r="J162" s="256">
        <v>94595</v>
      </c>
      <c r="K162" s="257">
        <v>52496</v>
      </c>
    </row>
    <row r="163" spans="1:11" x14ac:dyDescent="0.25">
      <c r="A163" s="50">
        <v>447162</v>
      </c>
      <c r="B163" s="121">
        <v>30445</v>
      </c>
      <c r="C163" s="123">
        <v>29995</v>
      </c>
      <c r="D163" s="122" t="s">
        <v>153</v>
      </c>
      <c r="E163" s="255">
        <v>560229</v>
      </c>
      <c r="F163" s="256">
        <v>52496</v>
      </c>
      <c r="G163" s="257">
        <v>51723</v>
      </c>
      <c r="H163" t="s">
        <v>153</v>
      </c>
      <c r="I163" s="255">
        <v>776074</v>
      </c>
      <c r="J163" s="256">
        <v>93203</v>
      </c>
      <c r="K163" s="257">
        <v>51723</v>
      </c>
    </row>
    <row r="164" spans="1:11" x14ac:dyDescent="0.25">
      <c r="A164" s="50">
        <v>447431</v>
      </c>
      <c r="B164" s="121">
        <v>29995</v>
      </c>
      <c r="C164" s="123">
        <v>29548</v>
      </c>
      <c r="D164" s="122" t="s">
        <v>153</v>
      </c>
      <c r="E164" s="255">
        <v>560566</v>
      </c>
      <c r="F164" s="256">
        <v>51723</v>
      </c>
      <c r="G164" s="257">
        <v>50947</v>
      </c>
      <c r="H164" t="s">
        <v>153</v>
      </c>
      <c r="I164" s="255">
        <v>776542</v>
      </c>
      <c r="J164" s="256">
        <v>91807</v>
      </c>
      <c r="K164" s="257">
        <v>50947</v>
      </c>
    </row>
    <row r="165" spans="1:11" x14ac:dyDescent="0.25">
      <c r="A165" s="50">
        <v>447701</v>
      </c>
      <c r="B165" s="121">
        <v>29548</v>
      </c>
      <c r="C165" s="123">
        <v>29097</v>
      </c>
      <c r="D165" s="122" t="s">
        <v>153</v>
      </c>
      <c r="E165" s="255">
        <v>560904</v>
      </c>
      <c r="F165" s="256">
        <v>50947</v>
      </c>
      <c r="G165" s="257">
        <v>50173</v>
      </c>
      <c r="H165" t="s">
        <v>153</v>
      </c>
      <c r="I165" s="255">
        <v>777011</v>
      </c>
      <c r="J165" s="256">
        <v>90413</v>
      </c>
      <c r="K165" s="257">
        <v>50173</v>
      </c>
    </row>
    <row r="166" spans="1:11" x14ac:dyDescent="0.25">
      <c r="A166" s="50">
        <v>447971</v>
      </c>
      <c r="B166" s="121">
        <v>29097</v>
      </c>
      <c r="C166" s="123">
        <v>28650</v>
      </c>
      <c r="D166" s="122" t="s">
        <v>153</v>
      </c>
      <c r="E166" s="255">
        <v>561242</v>
      </c>
      <c r="F166" s="256">
        <v>50173</v>
      </c>
      <c r="G166" s="257">
        <v>49405</v>
      </c>
      <c r="H166" t="s">
        <v>153</v>
      </c>
      <c r="I166" s="255">
        <v>777475</v>
      </c>
      <c r="J166" s="256">
        <v>89030</v>
      </c>
      <c r="K166" s="257">
        <v>49405</v>
      </c>
    </row>
    <row r="167" spans="1:11" x14ac:dyDescent="0.25">
      <c r="A167" s="50">
        <v>448239</v>
      </c>
      <c r="B167" s="121">
        <v>28650</v>
      </c>
      <c r="C167" s="123">
        <v>28203</v>
      </c>
      <c r="D167" s="122" t="s">
        <v>153</v>
      </c>
      <c r="E167" s="255">
        <v>561578</v>
      </c>
      <c r="F167" s="256">
        <v>49405</v>
      </c>
      <c r="G167" s="257">
        <v>48632</v>
      </c>
      <c r="H167" t="s">
        <v>153</v>
      </c>
      <c r="I167" s="255">
        <v>777944</v>
      </c>
      <c r="J167" s="256">
        <v>87638</v>
      </c>
      <c r="K167" s="257">
        <v>48632</v>
      </c>
    </row>
    <row r="168" spans="1:11" x14ac:dyDescent="0.25">
      <c r="A168" s="50">
        <v>448509</v>
      </c>
      <c r="B168" s="121">
        <v>28203</v>
      </c>
      <c r="C168" s="123">
        <v>27756</v>
      </c>
      <c r="D168" s="122" t="s">
        <v>153</v>
      </c>
      <c r="E168" s="255">
        <v>561916</v>
      </c>
      <c r="F168" s="256">
        <v>48632</v>
      </c>
      <c r="G168" s="257">
        <v>47860</v>
      </c>
      <c r="H168" t="s">
        <v>153</v>
      </c>
      <c r="I168" s="255">
        <v>778412</v>
      </c>
      <c r="J168" s="256">
        <v>86248</v>
      </c>
      <c r="K168" s="257">
        <v>47860</v>
      </c>
    </row>
    <row r="169" spans="1:11" x14ac:dyDescent="0.25">
      <c r="A169" s="50">
        <v>448779</v>
      </c>
      <c r="B169" s="121">
        <v>27756</v>
      </c>
      <c r="C169" s="123">
        <v>27312</v>
      </c>
      <c r="D169" s="122" t="s">
        <v>153</v>
      </c>
      <c r="E169" s="255">
        <v>562254</v>
      </c>
      <c r="F169" s="256">
        <v>47860</v>
      </c>
      <c r="G169" s="257">
        <v>47094</v>
      </c>
      <c r="H169" t="s">
        <v>153</v>
      </c>
      <c r="I169" s="255">
        <v>778877</v>
      </c>
      <c r="J169" s="256">
        <v>84870</v>
      </c>
      <c r="K169" s="257">
        <v>47094</v>
      </c>
    </row>
    <row r="170" spans="1:11" x14ac:dyDescent="0.25">
      <c r="A170" s="50">
        <v>449047</v>
      </c>
      <c r="B170" s="121">
        <v>27312</v>
      </c>
      <c r="C170" s="123">
        <v>26865</v>
      </c>
      <c r="D170" s="122" t="s">
        <v>153</v>
      </c>
      <c r="E170" s="255">
        <v>562590</v>
      </c>
      <c r="F170" s="256">
        <v>47094</v>
      </c>
      <c r="G170" s="257">
        <v>46323</v>
      </c>
      <c r="H170" t="s">
        <v>153</v>
      </c>
      <c r="I170" s="255">
        <v>779345</v>
      </c>
      <c r="J170" s="256">
        <v>83482</v>
      </c>
      <c r="K170" s="257">
        <v>46323</v>
      </c>
    </row>
    <row r="171" spans="1:11" x14ac:dyDescent="0.25">
      <c r="A171" s="50">
        <v>449317</v>
      </c>
      <c r="B171" s="121">
        <v>26865</v>
      </c>
      <c r="C171" s="123">
        <v>26420</v>
      </c>
      <c r="D171" s="122" t="s">
        <v>153</v>
      </c>
      <c r="E171" s="255">
        <v>562928</v>
      </c>
      <c r="F171" s="256">
        <v>46323</v>
      </c>
      <c r="G171" s="257">
        <v>45556</v>
      </c>
      <c r="H171" t="s">
        <v>153</v>
      </c>
      <c r="I171" s="255">
        <v>779812</v>
      </c>
      <c r="J171" s="256">
        <v>82102</v>
      </c>
      <c r="K171" s="257">
        <v>45556</v>
      </c>
    </row>
    <row r="172" spans="1:11" x14ac:dyDescent="0.25">
      <c r="A172" s="50">
        <v>449586</v>
      </c>
      <c r="B172" s="121">
        <v>26420</v>
      </c>
      <c r="C172" s="123">
        <v>25976</v>
      </c>
      <c r="D172" s="122" t="s">
        <v>153</v>
      </c>
      <c r="E172" s="255">
        <v>563265</v>
      </c>
      <c r="F172" s="256">
        <v>45556</v>
      </c>
      <c r="G172" s="257">
        <v>44787</v>
      </c>
      <c r="H172" t="s">
        <v>153</v>
      </c>
      <c r="I172" s="255">
        <v>780280</v>
      </c>
      <c r="J172" s="256">
        <v>80717</v>
      </c>
      <c r="K172" s="257">
        <v>44787</v>
      </c>
    </row>
    <row r="173" spans="1:11" x14ac:dyDescent="0.25">
      <c r="A173" s="50">
        <v>449856</v>
      </c>
      <c r="B173" s="121">
        <v>25976</v>
      </c>
      <c r="C173" s="123">
        <v>25531</v>
      </c>
      <c r="D173" s="122" t="s">
        <v>153</v>
      </c>
      <c r="E173" s="255">
        <v>563604</v>
      </c>
      <c r="F173" s="256">
        <v>44787</v>
      </c>
      <c r="G173" s="257">
        <v>44022</v>
      </c>
      <c r="H173" t="s">
        <v>153</v>
      </c>
      <c r="I173" s="255">
        <v>780747</v>
      </c>
      <c r="J173" s="256">
        <v>79338</v>
      </c>
      <c r="K173" s="257">
        <v>44022</v>
      </c>
    </row>
    <row r="174" spans="1:11" x14ac:dyDescent="0.25">
      <c r="A174" s="50">
        <v>450125</v>
      </c>
      <c r="B174" s="121">
        <v>25531</v>
      </c>
      <c r="C174" s="123">
        <v>25087</v>
      </c>
      <c r="D174" s="122" t="s">
        <v>153</v>
      </c>
      <c r="E174" s="255">
        <v>563941</v>
      </c>
      <c r="F174" s="256">
        <v>44022</v>
      </c>
      <c r="G174" s="257">
        <v>43257</v>
      </c>
      <c r="H174" t="s">
        <v>153</v>
      </c>
      <c r="I174" s="255">
        <v>781213</v>
      </c>
      <c r="J174" s="256">
        <v>77962</v>
      </c>
      <c r="K174" s="257">
        <v>43257</v>
      </c>
    </row>
    <row r="175" spans="1:11" x14ac:dyDescent="0.25">
      <c r="A175" s="50">
        <v>450394</v>
      </c>
      <c r="B175" s="121">
        <v>25087</v>
      </c>
      <c r="C175" s="123">
        <v>24642</v>
      </c>
      <c r="D175" s="122" t="s">
        <v>153</v>
      </c>
      <c r="E175" s="255">
        <v>564278</v>
      </c>
      <c r="F175" s="256">
        <v>43257</v>
      </c>
      <c r="G175" s="257">
        <v>42491</v>
      </c>
      <c r="H175" t="s">
        <v>153</v>
      </c>
      <c r="I175" s="255">
        <v>781682</v>
      </c>
      <c r="J175" s="256">
        <v>76582</v>
      </c>
      <c r="K175" s="257">
        <v>42491</v>
      </c>
    </row>
    <row r="176" spans="1:11" x14ac:dyDescent="0.25">
      <c r="A176" s="50">
        <v>450664</v>
      </c>
      <c r="B176" s="121">
        <v>24642</v>
      </c>
      <c r="C176" s="123">
        <v>24199</v>
      </c>
      <c r="D176" s="122" t="s">
        <v>153</v>
      </c>
      <c r="E176" s="255">
        <v>564616</v>
      </c>
      <c r="F176" s="256">
        <v>42491</v>
      </c>
      <c r="G176" s="257">
        <v>41730</v>
      </c>
      <c r="H176" t="s">
        <v>153</v>
      </c>
      <c r="I176" s="255">
        <v>782146</v>
      </c>
      <c r="J176" s="256">
        <v>75213</v>
      </c>
      <c r="K176" s="257">
        <v>41730</v>
      </c>
    </row>
    <row r="177" spans="1:11" x14ac:dyDescent="0.25">
      <c r="A177" s="50">
        <v>450932</v>
      </c>
      <c r="B177" s="121">
        <v>24199</v>
      </c>
      <c r="C177" s="123">
        <v>23757</v>
      </c>
      <c r="D177" s="122" t="s">
        <v>153</v>
      </c>
      <c r="E177" s="255">
        <v>564952</v>
      </c>
      <c r="F177" s="256">
        <v>41730</v>
      </c>
      <c r="G177" s="257">
        <v>40965</v>
      </c>
      <c r="H177" t="s">
        <v>153</v>
      </c>
      <c r="I177" s="255">
        <v>782615</v>
      </c>
      <c r="J177" s="256">
        <v>73835</v>
      </c>
      <c r="K177" s="257">
        <v>40965</v>
      </c>
    </row>
    <row r="178" spans="1:11" x14ac:dyDescent="0.25">
      <c r="A178" s="50">
        <v>451202</v>
      </c>
      <c r="B178" s="121">
        <v>23757</v>
      </c>
      <c r="C178" s="123">
        <v>23315</v>
      </c>
      <c r="D178" s="122" t="s">
        <v>153</v>
      </c>
      <c r="E178" s="255">
        <v>565290</v>
      </c>
      <c r="F178" s="256">
        <v>40965</v>
      </c>
      <c r="G178" s="257">
        <v>40201</v>
      </c>
      <c r="H178" t="s">
        <v>153</v>
      </c>
      <c r="I178" s="255">
        <v>783083</v>
      </c>
      <c r="J178" s="256">
        <v>72459</v>
      </c>
      <c r="K178" s="257">
        <v>40201</v>
      </c>
    </row>
    <row r="179" spans="1:11" x14ac:dyDescent="0.25">
      <c r="A179" s="50">
        <v>451472</v>
      </c>
      <c r="B179" s="121">
        <v>23315</v>
      </c>
      <c r="C179" s="123">
        <v>22873</v>
      </c>
      <c r="D179" s="122" t="s">
        <v>153</v>
      </c>
      <c r="E179" s="255">
        <v>565628</v>
      </c>
      <c r="F179" s="256">
        <v>40201</v>
      </c>
      <c r="G179" s="257">
        <v>39440</v>
      </c>
      <c r="H179" t="s">
        <v>153</v>
      </c>
      <c r="I179" s="255">
        <v>783550</v>
      </c>
      <c r="J179" s="256">
        <v>71089</v>
      </c>
      <c r="K179" s="257">
        <v>39440</v>
      </c>
    </row>
    <row r="180" spans="1:11" x14ac:dyDescent="0.25">
      <c r="A180" s="50">
        <v>451741</v>
      </c>
      <c r="B180" s="121">
        <v>22873</v>
      </c>
      <c r="C180" s="123">
        <v>22432</v>
      </c>
      <c r="D180" s="122" t="s">
        <v>153</v>
      </c>
      <c r="E180" s="255">
        <v>565965</v>
      </c>
      <c r="F180" s="256">
        <v>39440</v>
      </c>
      <c r="G180" s="257">
        <v>38677</v>
      </c>
      <c r="H180" t="s">
        <v>153</v>
      </c>
      <c r="I180" s="255">
        <v>784018</v>
      </c>
      <c r="J180" s="256">
        <v>69715</v>
      </c>
      <c r="K180" s="257">
        <v>38677</v>
      </c>
    </row>
    <row r="181" spans="1:11" x14ac:dyDescent="0.25">
      <c r="A181" s="50">
        <v>452011</v>
      </c>
      <c r="B181" s="121">
        <v>22432</v>
      </c>
      <c r="C181" s="123">
        <v>21988</v>
      </c>
      <c r="D181" s="122" t="s">
        <v>153</v>
      </c>
      <c r="E181" s="255">
        <v>566304</v>
      </c>
      <c r="F181" s="256">
        <v>38677</v>
      </c>
      <c r="G181" s="257">
        <v>37914</v>
      </c>
      <c r="H181" t="s">
        <v>153</v>
      </c>
      <c r="I181" s="255">
        <v>784486</v>
      </c>
      <c r="J181" s="256">
        <v>68343</v>
      </c>
      <c r="K181" s="257">
        <v>37914</v>
      </c>
    </row>
    <row r="182" spans="1:11" x14ac:dyDescent="0.25">
      <c r="A182" s="50">
        <v>452281</v>
      </c>
      <c r="B182" s="121">
        <v>21988</v>
      </c>
      <c r="C182" s="123">
        <v>21550</v>
      </c>
      <c r="D182" s="122" t="s">
        <v>153</v>
      </c>
      <c r="E182" s="255">
        <v>566642</v>
      </c>
      <c r="F182" s="256">
        <v>37914</v>
      </c>
      <c r="G182" s="257">
        <v>37158</v>
      </c>
      <c r="H182" t="s">
        <v>153</v>
      </c>
      <c r="I182" s="255">
        <v>784951</v>
      </c>
      <c r="J182" s="256">
        <v>66982</v>
      </c>
      <c r="K182" s="257">
        <v>37158</v>
      </c>
    </row>
    <row r="183" spans="1:11" x14ac:dyDescent="0.25">
      <c r="A183" s="50">
        <v>452549</v>
      </c>
      <c r="B183" s="121">
        <v>21550</v>
      </c>
      <c r="C183" s="123">
        <v>21108</v>
      </c>
      <c r="D183" s="122" t="s">
        <v>153</v>
      </c>
      <c r="E183" s="255">
        <v>566978</v>
      </c>
      <c r="F183" s="256">
        <v>37158</v>
      </c>
      <c r="G183" s="257">
        <v>36398</v>
      </c>
      <c r="H183" t="s">
        <v>153</v>
      </c>
      <c r="I183" s="255">
        <v>785419</v>
      </c>
      <c r="J183" s="256">
        <v>65612</v>
      </c>
      <c r="K183" s="257">
        <v>36398</v>
      </c>
    </row>
    <row r="184" spans="1:11" x14ac:dyDescent="0.25">
      <c r="A184" s="50">
        <v>452819</v>
      </c>
      <c r="B184" s="121">
        <v>21108</v>
      </c>
      <c r="C184" s="123">
        <v>20668</v>
      </c>
      <c r="D184" s="122" t="s">
        <v>153</v>
      </c>
      <c r="E184" s="255">
        <v>567316</v>
      </c>
      <c r="F184" s="256">
        <v>36398</v>
      </c>
      <c r="G184" s="257">
        <v>35643</v>
      </c>
      <c r="H184" t="s">
        <v>153</v>
      </c>
      <c r="I184" s="255">
        <v>785884</v>
      </c>
      <c r="J184" s="256">
        <v>64254</v>
      </c>
      <c r="K184" s="257">
        <v>35643</v>
      </c>
    </row>
    <row r="185" spans="1:11" x14ac:dyDescent="0.25">
      <c r="A185" s="50">
        <v>453087</v>
      </c>
      <c r="B185" s="121">
        <v>20668</v>
      </c>
      <c r="C185" s="123">
        <v>20230</v>
      </c>
      <c r="D185" s="122" t="s">
        <v>153</v>
      </c>
      <c r="E185" s="255">
        <v>567652</v>
      </c>
      <c r="F185" s="256">
        <v>35643</v>
      </c>
      <c r="G185" s="257">
        <v>34884</v>
      </c>
      <c r="H185" t="s">
        <v>153</v>
      </c>
      <c r="I185" s="255">
        <v>786353</v>
      </c>
      <c r="J185" s="256">
        <v>62886</v>
      </c>
      <c r="K185" s="257">
        <v>34884</v>
      </c>
    </row>
    <row r="186" spans="1:11" x14ac:dyDescent="0.25">
      <c r="A186" s="50">
        <v>453357</v>
      </c>
      <c r="B186" s="121">
        <v>20230</v>
      </c>
      <c r="C186" s="123">
        <v>19790</v>
      </c>
      <c r="D186" s="122" t="s">
        <v>153</v>
      </c>
      <c r="E186" s="255">
        <v>567990</v>
      </c>
      <c r="F186" s="256">
        <v>34884</v>
      </c>
      <c r="G186" s="257">
        <v>34125</v>
      </c>
      <c r="H186" t="s">
        <v>153</v>
      </c>
      <c r="I186" s="255">
        <v>786821</v>
      </c>
      <c r="J186" s="256">
        <v>61520</v>
      </c>
      <c r="K186" s="257">
        <v>34125</v>
      </c>
    </row>
    <row r="187" spans="1:11" x14ac:dyDescent="0.25">
      <c r="A187" s="50">
        <v>453627</v>
      </c>
      <c r="B187" s="121">
        <v>19790</v>
      </c>
      <c r="C187" s="123">
        <v>19352</v>
      </c>
      <c r="D187" s="122" t="s">
        <v>153</v>
      </c>
      <c r="E187" s="255">
        <v>568328</v>
      </c>
      <c r="F187" s="256">
        <v>34125</v>
      </c>
      <c r="G187" s="257">
        <v>33370</v>
      </c>
      <c r="H187" t="s">
        <v>153</v>
      </c>
      <c r="I187" s="255">
        <v>787288</v>
      </c>
      <c r="J187" s="256">
        <v>60161</v>
      </c>
      <c r="K187" s="257">
        <v>33370</v>
      </c>
    </row>
    <row r="188" spans="1:11" x14ac:dyDescent="0.25">
      <c r="A188" s="50">
        <v>453896</v>
      </c>
      <c r="B188" s="121">
        <v>19352</v>
      </c>
      <c r="C188" s="123">
        <v>18916</v>
      </c>
      <c r="D188" s="122" t="s">
        <v>153</v>
      </c>
      <c r="E188" s="255">
        <v>568665</v>
      </c>
      <c r="F188" s="256">
        <v>33370</v>
      </c>
      <c r="G188" s="257">
        <v>32612</v>
      </c>
      <c r="H188" t="s">
        <v>153</v>
      </c>
      <c r="I188" s="255">
        <v>787756</v>
      </c>
      <c r="J188" s="256">
        <v>58797</v>
      </c>
      <c r="K188" s="257">
        <v>32612</v>
      </c>
    </row>
    <row r="189" spans="1:11" x14ac:dyDescent="0.25">
      <c r="A189" s="50">
        <v>454166</v>
      </c>
      <c r="B189" s="121">
        <v>18916</v>
      </c>
      <c r="C189" s="123">
        <v>18476</v>
      </c>
      <c r="D189" s="122" t="s">
        <v>153</v>
      </c>
      <c r="E189" s="255">
        <v>569004</v>
      </c>
      <c r="F189" s="256">
        <v>32612</v>
      </c>
      <c r="G189" s="257">
        <v>31856</v>
      </c>
      <c r="H189" t="s">
        <v>153</v>
      </c>
      <c r="I189" s="255">
        <v>788224</v>
      </c>
      <c r="J189" s="256">
        <v>57435</v>
      </c>
      <c r="K189" s="257">
        <v>31856</v>
      </c>
    </row>
    <row r="190" spans="1:11" x14ac:dyDescent="0.25">
      <c r="A190" s="50">
        <v>454436</v>
      </c>
      <c r="B190" s="121">
        <v>18476</v>
      </c>
      <c r="C190" s="123">
        <v>18039</v>
      </c>
      <c r="D190" s="122" t="s">
        <v>153</v>
      </c>
      <c r="E190" s="255">
        <v>569342</v>
      </c>
      <c r="F190" s="256">
        <v>31856</v>
      </c>
      <c r="G190" s="257">
        <v>31105</v>
      </c>
      <c r="H190" t="s">
        <v>153</v>
      </c>
      <c r="I190" s="255">
        <v>788689</v>
      </c>
      <c r="J190" s="256">
        <v>56084</v>
      </c>
      <c r="K190" s="257">
        <v>31105</v>
      </c>
    </row>
    <row r="191" spans="1:11" x14ac:dyDescent="0.25">
      <c r="A191" s="50">
        <v>454704</v>
      </c>
      <c r="B191" s="121">
        <v>18039</v>
      </c>
      <c r="C191" s="123">
        <v>17601</v>
      </c>
      <c r="D191" s="122" t="s">
        <v>153</v>
      </c>
      <c r="E191" s="255">
        <v>569678</v>
      </c>
      <c r="F191" s="256">
        <v>31105</v>
      </c>
      <c r="G191" s="257">
        <v>30350</v>
      </c>
      <c r="H191" t="s">
        <v>153</v>
      </c>
      <c r="I191" s="255">
        <v>789157</v>
      </c>
      <c r="J191" s="256">
        <v>54724</v>
      </c>
      <c r="K191" s="257">
        <v>30350</v>
      </c>
    </row>
    <row r="192" spans="1:11" x14ac:dyDescent="0.25">
      <c r="A192" s="50">
        <v>454974</v>
      </c>
      <c r="B192" s="121">
        <v>17601</v>
      </c>
      <c r="C192" s="123">
        <v>17165</v>
      </c>
      <c r="D192" s="122" t="s">
        <v>153</v>
      </c>
      <c r="E192" s="255">
        <v>570016</v>
      </c>
      <c r="F192" s="256">
        <v>30350</v>
      </c>
      <c r="G192" s="257">
        <v>29601</v>
      </c>
      <c r="H192" t="s">
        <v>153</v>
      </c>
      <c r="I192" s="255">
        <v>789622</v>
      </c>
      <c r="J192" s="256">
        <v>53376</v>
      </c>
      <c r="K192" s="257">
        <v>29601</v>
      </c>
    </row>
    <row r="193" spans="1:11" x14ac:dyDescent="0.25">
      <c r="A193" s="50">
        <v>455242</v>
      </c>
      <c r="B193" s="121">
        <v>17165</v>
      </c>
      <c r="C193" s="123">
        <v>16729</v>
      </c>
      <c r="D193" s="122" t="s">
        <v>153</v>
      </c>
      <c r="E193" s="255">
        <v>570352</v>
      </c>
      <c r="F193" s="256">
        <v>29601</v>
      </c>
      <c r="G193" s="257">
        <v>28847</v>
      </c>
      <c r="H193" t="s">
        <v>153</v>
      </c>
      <c r="I193" s="255">
        <v>790090</v>
      </c>
      <c r="J193" s="256">
        <v>52018</v>
      </c>
      <c r="K193" s="257">
        <v>28847</v>
      </c>
    </row>
    <row r="194" spans="1:11" x14ac:dyDescent="0.25">
      <c r="A194" s="50">
        <v>455512</v>
      </c>
      <c r="B194" s="121">
        <v>16729</v>
      </c>
      <c r="C194" s="123">
        <v>16294</v>
      </c>
      <c r="D194" s="122" t="s">
        <v>153</v>
      </c>
      <c r="E194" s="255">
        <v>570690</v>
      </c>
      <c r="F194" s="256">
        <v>28847</v>
      </c>
      <c r="G194" s="257">
        <v>28094</v>
      </c>
      <c r="H194" t="s">
        <v>153</v>
      </c>
      <c r="I194" s="255">
        <v>790559</v>
      </c>
      <c r="J194" s="256">
        <v>50662</v>
      </c>
      <c r="K194" s="257">
        <v>28094</v>
      </c>
    </row>
    <row r="195" spans="1:11" x14ac:dyDescent="0.25">
      <c r="A195" s="50">
        <v>455782</v>
      </c>
      <c r="B195" s="121">
        <v>16294</v>
      </c>
      <c r="C195" s="123">
        <v>15858</v>
      </c>
      <c r="D195" s="122" t="s">
        <v>153</v>
      </c>
      <c r="E195" s="255">
        <v>571028</v>
      </c>
      <c r="F195" s="256">
        <v>28094</v>
      </c>
      <c r="G195" s="257">
        <v>27344</v>
      </c>
      <c r="H195" t="s">
        <v>153</v>
      </c>
      <c r="I195" s="255">
        <v>791025</v>
      </c>
      <c r="J195" s="256">
        <v>49312</v>
      </c>
      <c r="K195" s="257">
        <v>27344</v>
      </c>
    </row>
    <row r="196" spans="1:11" x14ac:dyDescent="0.25">
      <c r="A196" s="50">
        <v>456051</v>
      </c>
      <c r="B196" s="121">
        <v>15858</v>
      </c>
      <c r="C196" s="123">
        <v>15425</v>
      </c>
      <c r="D196" s="122" t="s">
        <v>153</v>
      </c>
      <c r="E196" s="255">
        <v>571365</v>
      </c>
      <c r="F196" s="256">
        <v>27344</v>
      </c>
      <c r="G196" s="257">
        <v>26592</v>
      </c>
      <c r="H196" t="s">
        <v>153</v>
      </c>
      <c r="I196" s="255">
        <v>791494</v>
      </c>
      <c r="J196" s="256">
        <v>47959</v>
      </c>
      <c r="K196" s="257">
        <v>26592</v>
      </c>
    </row>
    <row r="197" spans="1:11" x14ac:dyDescent="0.25">
      <c r="A197" s="50">
        <v>456321</v>
      </c>
      <c r="B197" s="121">
        <v>15425</v>
      </c>
      <c r="C197" s="123">
        <v>14988</v>
      </c>
      <c r="D197" s="122" t="s">
        <v>153</v>
      </c>
      <c r="E197" s="255">
        <v>571703</v>
      </c>
      <c r="F197" s="256">
        <v>26592</v>
      </c>
      <c r="G197" s="257">
        <v>25841</v>
      </c>
      <c r="H197" t="s">
        <v>153</v>
      </c>
      <c r="I197" s="255">
        <v>791962</v>
      </c>
      <c r="J197" s="256">
        <v>46606</v>
      </c>
      <c r="K197" s="257">
        <v>25841</v>
      </c>
    </row>
    <row r="198" spans="1:11" x14ac:dyDescent="0.25">
      <c r="A198" s="50">
        <v>456591</v>
      </c>
      <c r="B198" s="121">
        <v>14988</v>
      </c>
      <c r="C198" s="123">
        <v>14554</v>
      </c>
      <c r="D198" s="122" t="s">
        <v>153</v>
      </c>
      <c r="E198" s="255">
        <v>572042</v>
      </c>
      <c r="F198" s="256">
        <v>25841</v>
      </c>
      <c r="G198" s="257">
        <v>25096</v>
      </c>
      <c r="H198" t="s">
        <v>153</v>
      </c>
      <c r="I198" s="255">
        <v>792427</v>
      </c>
      <c r="J198" s="256">
        <v>45265</v>
      </c>
      <c r="K198" s="257">
        <v>25096</v>
      </c>
    </row>
    <row r="199" spans="1:11" x14ac:dyDescent="0.25">
      <c r="A199" s="50">
        <v>456859</v>
      </c>
      <c r="B199" s="121">
        <v>14554</v>
      </c>
      <c r="C199" s="123">
        <v>14121</v>
      </c>
      <c r="D199" s="122" t="s">
        <v>153</v>
      </c>
      <c r="E199" s="255">
        <v>572377</v>
      </c>
      <c r="F199" s="256">
        <v>25096</v>
      </c>
      <c r="G199" s="257">
        <v>24346</v>
      </c>
      <c r="H199" t="s">
        <v>153</v>
      </c>
      <c r="I199" s="255">
        <v>792895</v>
      </c>
      <c r="J199" s="256">
        <v>43915</v>
      </c>
      <c r="K199" s="257">
        <v>24346</v>
      </c>
    </row>
    <row r="200" spans="1:11" x14ac:dyDescent="0.25">
      <c r="A200" s="50">
        <v>457129</v>
      </c>
      <c r="B200" s="121">
        <v>14121</v>
      </c>
      <c r="C200" s="123">
        <v>13687</v>
      </c>
      <c r="D200" s="122" t="s">
        <v>153</v>
      </c>
      <c r="E200" s="255">
        <v>572716</v>
      </c>
      <c r="F200" s="256">
        <v>24346</v>
      </c>
      <c r="G200" s="257">
        <v>23602</v>
      </c>
      <c r="H200" t="s">
        <v>153</v>
      </c>
      <c r="I200" s="255">
        <v>793360</v>
      </c>
      <c r="J200" s="256">
        <v>42576</v>
      </c>
      <c r="K200" s="257">
        <v>23602</v>
      </c>
    </row>
    <row r="201" spans="1:11" x14ac:dyDescent="0.25">
      <c r="A201" s="50">
        <v>457397</v>
      </c>
      <c r="B201" s="121">
        <v>13687</v>
      </c>
      <c r="C201" s="123">
        <v>13254</v>
      </c>
      <c r="D201" s="122" t="s">
        <v>153</v>
      </c>
      <c r="E201" s="255">
        <v>573052</v>
      </c>
      <c r="F201" s="256">
        <v>23602</v>
      </c>
      <c r="G201" s="257">
        <v>22854</v>
      </c>
      <c r="H201" t="s">
        <v>153</v>
      </c>
      <c r="I201" s="255">
        <v>793828</v>
      </c>
      <c r="J201" s="256">
        <v>41228</v>
      </c>
      <c r="K201" s="257">
        <v>22854</v>
      </c>
    </row>
    <row r="202" spans="1:11" x14ac:dyDescent="0.25">
      <c r="A202" s="50">
        <v>457667</v>
      </c>
      <c r="B202" s="121">
        <v>13254</v>
      </c>
      <c r="C202" s="123">
        <v>12823</v>
      </c>
      <c r="D202" s="122" t="s">
        <v>153</v>
      </c>
      <c r="E202" s="255">
        <v>573390</v>
      </c>
      <c r="F202" s="256">
        <v>22854</v>
      </c>
      <c r="G202" s="257">
        <v>22106</v>
      </c>
      <c r="H202" t="s">
        <v>153</v>
      </c>
      <c r="I202" s="255">
        <v>794297</v>
      </c>
      <c r="J202" s="256">
        <v>39881</v>
      </c>
      <c r="K202" s="257">
        <v>22106</v>
      </c>
    </row>
    <row r="203" spans="1:11" x14ac:dyDescent="0.25">
      <c r="A203" s="50">
        <v>457937</v>
      </c>
      <c r="B203" s="121">
        <v>12823</v>
      </c>
      <c r="C203" s="123">
        <v>12389</v>
      </c>
      <c r="D203" s="122" t="s">
        <v>153</v>
      </c>
      <c r="E203" s="255">
        <v>573728</v>
      </c>
      <c r="F203" s="256">
        <v>22106</v>
      </c>
      <c r="G203" s="257">
        <v>21361</v>
      </c>
      <c r="H203" t="s">
        <v>153</v>
      </c>
      <c r="I203" s="255">
        <v>794763</v>
      </c>
      <c r="J203" s="256">
        <v>38541</v>
      </c>
      <c r="K203" s="257">
        <v>21361</v>
      </c>
    </row>
    <row r="204" spans="1:11" x14ac:dyDescent="0.25">
      <c r="A204" s="50">
        <v>458206</v>
      </c>
      <c r="B204" s="121">
        <v>12389</v>
      </c>
      <c r="C204" s="123">
        <v>11957</v>
      </c>
      <c r="D204" s="122" t="s">
        <v>153</v>
      </c>
      <c r="E204" s="255">
        <v>574065</v>
      </c>
      <c r="F204" s="256">
        <v>21361</v>
      </c>
      <c r="G204" s="257">
        <v>20614</v>
      </c>
      <c r="H204" t="s">
        <v>153</v>
      </c>
      <c r="I204" s="255">
        <v>795232</v>
      </c>
      <c r="J204" s="256">
        <v>37196</v>
      </c>
      <c r="K204" s="257">
        <v>20614</v>
      </c>
    </row>
    <row r="205" spans="1:11" x14ac:dyDescent="0.25">
      <c r="A205" s="50">
        <v>458476</v>
      </c>
      <c r="B205" s="121">
        <v>11957</v>
      </c>
      <c r="C205" s="123">
        <v>11524</v>
      </c>
      <c r="D205" s="122" t="s">
        <v>153</v>
      </c>
      <c r="E205" s="255">
        <v>574403</v>
      </c>
      <c r="F205" s="256">
        <v>20614</v>
      </c>
      <c r="G205" s="257">
        <v>19868</v>
      </c>
      <c r="H205" t="s">
        <v>153</v>
      </c>
      <c r="I205" s="255">
        <v>795700</v>
      </c>
      <c r="J205" s="256">
        <v>35853</v>
      </c>
      <c r="K205" s="257">
        <v>19868</v>
      </c>
    </row>
    <row r="206" spans="1:11" x14ac:dyDescent="0.25">
      <c r="A206" s="50">
        <v>458746</v>
      </c>
      <c r="B206" s="121">
        <v>11524</v>
      </c>
      <c r="C206" s="123">
        <v>11093</v>
      </c>
      <c r="D206" s="122" t="s">
        <v>153</v>
      </c>
      <c r="E206" s="255">
        <v>574742</v>
      </c>
      <c r="F206" s="256">
        <v>19868</v>
      </c>
      <c r="G206" s="257">
        <v>19128</v>
      </c>
      <c r="H206" t="s">
        <v>153</v>
      </c>
      <c r="I206" s="255">
        <v>796165</v>
      </c>
      <c r="J206" s="256">
        <v>34521</v>
      </c>
      <c r="K206" s="257">
        <v>19128</v>
      </c>
    </row>
    <row r="207" spans="1:11" x14ac:dyDescent="0.25">
      <c r="A207" s="50">
        <v>459014</v>
      </c>
      <c r="B207" s="121">
        <v>11093</v>
      </c>
      <c r="C207" s="123">
        <v>10662</v>
      </c>
      <c r="D207" s="122" t="s">
        <v>153</v>
      </c>
      <c r="E207" s="255">
        <v>575077</v>
      </c>
      <c r="F207" s="256">
        <v>19128</v>
      </c>
      <c r="G207" s="257">
        <v>18383</v>
      </c>
      <c r="H207" t="s">
        <v>153</v>
      </c>
      <c r="I207" s="255">
        <v>796633</v>
      </c>
      <c r="J207" s="256">
        <v>33180</v>
      </c>
      <c r="K207" s="257">
        <v>18383</v>
      </c>
    </row>
    <row r="208" spans="1:11" x14ac:dyDescent="0.25">
      <c r="A208" s="50">
        <v>459284</v>
      </c>
      <c r="B208" s="121">
        <v>10662</v>
      </c>
      <c r="C208" s="123">
        <v>10231</v>
      </c>
      <c r="D208" s="122" t="s">
        <v>153</v>
      </c>
      <c r="E208" s="255">
        <v>575416</v>
      </c>
      <c r="F208" s="256">
        <v>18383</v>
      </c>
      <c r="G208" s="257">
        <v>17645</v>
      </c>
      <c r="H208" t="s">
        <v>153</v>
      </c>
      <c r="I208" s="255">
        <v>797098</v>
      </c>
      <c r="J208" s="256">
        <v>31850</v>
      </c>
      <c r="K208" s="257">
        <v>17645</v>
      </c>
    </row>
    <row r="209" spans="1:11" x14ac:dyDescent="0.25">
      <c r="A209" s="50">
        <v>459552</v>
      </c>
      <c r="B209" s="121">
        <v>10231</v>
      </c>
      <c r="C209" s="123">
        <v>9802</v>
      </c>
      <c r="D209" s="122" t="s">
        <v>153</v>
      </c>
      <c r="E209" s="255">
        <v>575751</v>
      </c>
      <c r="F209" s="256">
        <v>17645</v>
      </c>
      <c r="G209" s="257">
        <v>16901</v>
      </c>
      <c r="H209" t="s">
        <v>153</v>
      </c>
      <c r="I209" s="255">
        <v>797566</v>
      </c>
      <c r="J209" s="256">
        <v>30511</v>
      </c>
      <c r="K209" s="257">
        <v>16901</v>
      </c>
    </row>
    <row r="210" spans="1:11" x14ac:dyDescent="0.25">
      <c r="A210" s="50">
        <v>459822</v>
      </c>
      <c r="B210" s="121">
        <v>9802</v>
      </c>
      <c r="C210" s="123">
        <v>9371</v>
      </c>
      <c r="D210" s="122" t="s">
        <v>153</v>
      </c>
      <c r="E210" s="255">
        <v>576090</v>
      </c>
      <c r="F210" s="256">
        <v>16901</v>
      </c>
      <c r="G210" s="257">
        <v>16158</v>
      </c>
      <c r="H210" t="s">
        <v>153</v>
      </c>
      <c r="I210" s="255">
        <v>798035</v>
      </c>
      <c r="J210" s="256">
        <v>29173</v>
      </c>
      <c r="K210" s="257">
        <v>16158</v>
      </c>
    </row>
    <row r="211" spans="1:11" x14ac:dyDescent="0.25">
      <c r="A211" s="50">
        <v>460092</v>
      </c>
      <c r="B211" s="121">
        <v>9371</v>
      </c>
      <c r="C211" s="123">
        <v>8944</v>
      </c>
      <c r="D211" s="122" t="s">
        <v>153</v>
      </c>
      <c r="E211" s="255">
        <v>576428</v>
      </c>
      <c r="F211" s="256">
        <v>16158</v>
      </c>
      <c r="G211" s="257">
        <v>15418</v>
      </c>
      <c r="H211" t="s">
        <v>153</v>
      </c>
      <c r="I211" s="255">
        <v>798501</v>
      </c>
      <c r="J211" s="256">
        <v>27841</v>
      </c>
      <c r="K211" s="257">
        <v>15418</v>
      </c>
    </row>
    <row r="212" spans="1:11" x14ac:dyDescent="0.25">
      <c r="A212" s="50">
        <v>460361</v>
      </c>
      <c r="B212" s="121">
        <v>8944</v>
      </c>
      <c r="C212" s="123">
        <v>8513</v>
      </c>
      <c r="D212" s="122" t="s">
        <v>153</v>
      </c>
      <c r="E212" s="255">
        <v>576765</v>
      </c>
      <c r="F212" s="256">
        <v>15418</v>
      </c>
      <c r="G212" s="257">
        <v>14676</v>
      </c>
      <c r="H212" t="s">
        <v>153</v>
      </c>
      <c r="I212" s="255">
        <v>798969</v>
      </c>
      <c r="J212" s="256">
        <v>26506</v>
      </c>
      <c r="K212" s="257">
        <v>14676</v>
      </c>
    </row>
    <row r="213" spans="1:11" x14ac:dyDescent="0.25">
      <c r="A213" s="50">
        <v>460631</v>
      </c>
      <c r="B213" s="121">
        <v>8513</v>
      </c>
      <c r="C213" s="123">
        <v>8084</v>
      </c>
      <c r="D213" s="122" t="s">
        <v>153</v>
      </c>
      <c r="E213" s="255">
        <v>577103</v>
      </c>
      <c r="F213" s="256">
        <v>14676</v>
      </c>
      <c r="G213" s="257">
        <v>13935</v>
      </c>
      <c r="H213" t="s">
        <v>153</v>
      </c>
      <c r="I213" s="255">
        <v>799438</v>
      </c>
      <c r="J213" s="256">
        <v>25171</v>
      </c>
      <c r="K213" s="257">
        <v>13935</v>
      </c>
    </row>
    <row r="214" spans="1:11" x14ac:dyDescent="0.25">
      <c r="A214" s="50">
        <v>460901</v>
      </c>
      <c r="B214" s="121">
        <v>8084</v>
      </c>
      <c r="C214" s="123">
        <v>7656</v>
      </c>
      <c r="D214" s="122" t="s">
        <v>153</v>
      </c>
      <c r="E214" s="255">
        <v>577442</v>
      </c>
      <c r="F214" s="256">
        <v>13935</v>
      </c>
      <c r="G214" s="257">
        <v>13200</v>
      </c>
      <c r="H214" t="s">
        <v>153</v>
      </c>
      <c r="I214" s="255">
        <v>799903</v>
      </c>
      <c r="J214" s="256">
        <v>23848</v>
      </c>
      <c r="K214" s="257">
        <v>13200</v>
      </c>
    </row>
    <row r="215" spans="1:11" x14ac:dyDescent="0.25">
      <c r="A215" s="50">
        <v>461169</v>
      </c>
      <c r="B215" s="121">
        <v>7656</v>
      </c>
      <c r="C215" s="123">
        <v>7227</v>
      </c>
      <c r="D215" s="122" t="s">
        <v>153</v>
      </c>
      <c r="E215" s="255">
        <v>577777</v>
      </c>
      <c r="F215" s="256">
        <v>13200</v>
      </c>
      <c r="G215" s="257">
        <v>12460</v>
      </c>
      <c r="H215" t="s">
        <v>153</v>
      </c>
      <c r="I215" s="255">
        <v>800371</v>
      </c>
      <c r="J215" s="256">
        <v>22515</v>
      </c>
      <c r="K215" s="257">
        <v>12460</v>
      </c>
    </row>
    <row r="216" spans="1:11" x14ac:dyDescent="0.25">
      <c r="A216" s="50">
        <v>461439</v>
      </c>
      <c r="B216" s="121">
        <v>7227</v>
      </c>
      <c r="C216" s="123">
        <v>6799</v>
      </c>
      <c r="D216" s="122" t="s">
        <v>153</v>
      </c>
      <c r="E216" s="255">
        <v>578116</v>
      </c>
      <c r="F216" s="256">
        <v>12460</v>
      </c>
      <c r="G216" s="257">
        <v>11726</v>
      </c>
      <c r="H216" t="s">
        <v>153</v>
      </c>
      <c r="I216" s="255">
        <v>800836</v>
      </c>
      <c r="J216" s="256">
        <v>21194</v>
      </c>
      <c r="K216" s="257">
        <v>11726</v>
      </c>
    </row>
    <row r="217" spans="1:11" x14ac:dyDescent="0.25">
      <c r="A217" s="50">
        <v>461707</v>
      </c>
      <c r="B217" s="121">
        <v>6799</v>
      </c>
      <c r="C217" s="123">
        <v>6374</v>
      </c>
      <c r="D217" s="122" t="s">
        <v>153</v>
      </c>
      <c r="E217" s="255">
        <v>578451</v>
      </c>
      <c r="F217" s="256">
        <v>11726</v>
      </c>
      <c r="G217" s="257">
        <v>10987</v>
      </c>
      <c r="H217" t="s">
        <v>153</v>
      </c>
      <c r="I217" s="255">
        <v>801304</v>
      </c>
      <c r="J217" s="256">
        <v>19864</v>
      </c>
      <c r="K217" s="257">
        <v>10987</v>
      </c>
    </row>
    <row r="218" spans="1:11" x14ac:dyDescent="0.25">
      <c r="A218" s="50">
        <v>461977</v>
      </c>
      <c r="B218" s="121">
        <v>6374</v>
      </c>
      <c r="C218" s="123">
        <v>5945</v>
      </c>
      <c r="D218" s="122" t="s">
        <v>153</v>
      </c>
      <c r="E218" s="255">
        <v>578790</v>
      </c>
      <c r="F218" s="256">
        <v>10987</v>
      </c>
      <c r="G218" s="257">
        <v>10249</v>
      </c>
      <c r="H218" t="s">
        <v>153</v>
      </c>
      <c r="I218" s="255">
        <v>801772</v>
      </c>
      <c r="J218" s="256">
        <v>18535</v>
      </c>
      <c r="K218" s="257">
        <v>10249</v>
      </c>
    </row>
    <row r="219" spans="1:11" x14ac:dyDescent="0.25">
      <c r="A219" s="50">
        <v>462247</v>
      </c>
      <c r="B219" s="121">
        <v>5945</v>
      </c>
      <c r="C219" s="123">
        <v>5519</v>
      </c>
      <c r="D219" s="122" t="s">
        <v>153</v>
      </c>
      <c r="E219" s="255">
        <v>579128</v>
      </c>
      <c r="F219" s="256">
        <v>10249</v>
      </c>
      <c r="G219" s="257">
        <v>9514</v>
      </c>
      <c r="H219" t="s">
        <v>153</v>
      </c>
      <c r="I219" s="255">
        <v>802239</v>
      </c>
      <c r="J219" s="256">
        <v>17211</v>
      </c>
      <c r="K219" s="257">
        <v>9514</v>
      </c>
    </row>
    <row r="220" spans="1:11" x14ac:dyDescent="0.25">
      <c r="A220" s="50">
        <v>462516</v>
      </c>
      <c r="B220" s="121">
        <v>5519</v>
      </c>
      <c r="C220" s="123">
        <v>5092</v>
      </c>
      <c r="D220" s="122" t="s">
        <v>153</v>
      </c>
      <c r="E220" s="255">
        <v>579465</v>
      </c>
      <c r="F220" s="256">
        <v>9514</v>
      </c>
      <c r="G220" s="257">
        <v>8777</v>
      </c>
      <c r="H220" t="s">
        <v>153</v>
      </c>
      <c r="I220" s="255">
        <v>802707</v>
      </c>
      <c r="J220" s="256">
        <v>15884</v>
      </c>
      <c r="K220" s="257">
        <v>8777</v>
      </c>
    </row>
    <row r="221" spans="1:11" x14ac:dyDescent="0.25">
      <c r="A221" s="50">
        <v>462786</v>
      </c>
      <c r="B221" s="121">
        <v>5092</v>
      </c>
      <c r="C221" s="123">
        <v>4666</v>
      </c>
      <c r="D221" s="122" t="s">
        <v>153</v>
      </c>
      <c r="E221" s="255">
        <v>579803</v>
      </c>
      <c r="F221" s="256">
        <v>8777</v>
      </c>
      <c r="G221" s="257">
        <v>8040</v>
      </c>
      <c r="H221" t="s">
        <v>153</v>
      </c>
      <c r="I221" s="255">
        <v>803176</v>
      </c>
      <c r="J221" s="256">
        <v>14558</v>
      </c>
      <c r="K221" s="257">
        <v>8040</v>
      </c>
    </row>
    <row r="222" spans="1:11" x14ac:dyDescent="0.25">
      <c r="A222" s="50">
        <v>463056</v>
      </c>
      <c r="B222" s="121">
        <v>4666</v>
      </c>
      <c r="C222" s="123">
        <v>4240</v>
      </c>
      <c r="D222" s="122" t="s">
        <v>153</v>
      </c>
      <c r="E222" s="255">
        <v>580141</v>
      </c>
      <c r="F222" s="256">
        <v>8040</v>
      </c>
      <c r="G222" s="257">
        <v>7310</v>
      </c>
      <c r="H222" t="s">
        <v>153</v>
      </c>
      <c r="I222" s="255">
        <v>803640</v>
      </c>
      <c r="J222" s="256">
        <v>13243</v>
      </c>
      <c r="K222" s="257">
        <v>7310</v>
      </c>
    </row>
    <row r="223" spans="1:11" x14ac:dyDescent="0.25">
      <c r="A223" s="50">
        <v>463324</v>
      </c>
      <c r="B223" s="121">
        <v>4240</v>
      </c>
      <c r="C223" s="123">
        <v>3815</v>
      </c>
      <c r="D223" s="122" t="s">
        <v>153</v>
      </c>
      <c r="E223" s="255">
        <v>580477</v>
      </c>
      <c r="F223" s="256">
        <v>7310</v>
      </c>
      <c r="G223" s="257">
        <v>6574</v>
      </c>
      <c r="H223" t="s">
        <v>153</v>
      </c>
      <c r="I223" s="255">
        <v>804109</v>
      </c>
      <c r="J223" s="256">
        <v>11919</v>
      </c>
      <c r="K223" s="257">
        <v>6574</v>
      </c>
    </row>
    <row r="224" spans="1:11" x14ac:dyDescent="0.25">
      <c r="A224" s="50">
        <v>463594</v>
      </c>
      <c r="B224" s="121">
        <v>3815</v>
      </c>
      <c r="C224" s="123">
        <v>3389</v>
      </c>
      <c r="D224" s="122" t="s">
        <v>153</v>
      </c>
      <c r="E224" s="255">
        <v>580815</v>
      </c>
      <c r="F224" s="256">
        <v>6574</v>
      </c>
      <c r="G224" s="257">
        <v>5845</v>
      </c>
      <c r="H224" t="s">
        <v>153</v>
      </c>
      <c r="I224" s="255">
        <v>804574</v>
      </c>
      <c r="J224" s="256">
        <v>10606</v>
      </c>
      <c r="K224" s="257">
        <v>5845</v>
      </c>
    </row>
    <row r="225" spans="1:11" x14ac:dyDescent="0.25">
      <c r="A225" s="50">
        <v>463862</v>
      </c>
      <c r="B225" s="121">
        <v>3389</v>
      </c>
      <c r="C225" s="123">
        <v>2965</v>
      </c>
      <c r="D225" s="122" t="s">
        <v>153</v>
      </c>
      <c r="E225" s="255">
        <v>581151</v>
      </c>
      <c r="F225" s="256">
        <v>5845</v>
      </c>
      <c r="G225" s="257">
        <v>5111</v>
      </c>
      <c r="H225" t="s">
        <v>153</v>
      </c>
      <c r="I225" s="255">
        <v>805042</v>
      </c>
      <c r="J225" s="256">
        <v>9284</v>
      </c>
      <c r="K225" s="257">
        <v>5111</v>
      </c>
    </row>
    <row r="226" spans="1:11" x14ac:dyDescent="0.25">
      <c r="A226" s="50">
        <v>464132</v>
      </c>
      <c r="B226" s="121">
        <v>2965</v>
      </c>
      <c r="C226" s="123">
        <v>2540</v>
      </c>
      <c r="D226" s="122" t="s">
        <v>153</v>
      </c>
      <c r="E226" s="255">
        <v>581489</v>
      </c>
      <c r="F226" s="256">
        <v>5111</v>
      </c>
      <c r="G226" s="257">
        <v>4377</v>
      </c>
      <c r="H226" t="s">
        <v>153</v>
      </c>
      <c r="I226" s="255">
        <v>805510</v>
      </c>
      <c r="J226" s="256">
        <v>7963</v>
      </c>
      <c r="K226" s="257">
        <v>4377</v>
      </c>
    </row>
    <row r="227" spans="1:11" x14ac:dyDescent="0.25">
      <c r="A227" s="50">
        <v>464402</v>
      </c>
      <c r="B227" s="121">
        <v>2540</v>
      </c>
      <c r="C227" s="123">
        <v>2117</v>
      </c>
      <c r="D227" s="122" t="s">
        <v>153</v>
      </c>
      <c r="E227" s="255">
        <v>581828</v>
      </c>
      <c r="F227" s="256">
        <v>4377</v>
      </c>
      <c r="G227" s="257">
        <v>3647</v>
      </c>
      <c r="H227" t="s">
        <v>153</v>
      </c>
      <c r="I227" s="255">
        <v>805977</v>
      </c>
      <c r="J227" s="256">
        <v>6648</v>
      </c>
      <c r="K227" s="257">
        <v>3647</v>
      </c>
    </row>
    <row r="228" spans="1:11" x14ac:dyDescent="0.25">
      <c r="A228" s="50">
        <v>464671</v>
      </c>
      <c r="B228" s="121">
        <v>2117</v>
      </c>
      <c r="C228" s="123">
        <v>1692</v>
      </c>
      <c r="D228" s="122" t="s">
        <v>153</v>
      </c>
      <c r="E228" s="255">
        <v>582165</v>
      </c>
      <c r="F228" s="256">
        <v>3647</v>
      </c>
      <c r="G228" s="257">
        <v>2914</v>
      </c>
      <c r="H228" t="s">
        <v>153</v>
      </c>
      <c r="I228" s="255">
        <v>806445</v>
      </c>
      <c r="J228" s="256">
        <v>5329</v>
      </c>
      <c r="K228" s="257">
        <v>2914</v>
      </c>
    </row>
    <row r="229" spans="1:11" x14ac:dyDescent="0.25">
      <c r="A229" s="50">
        <v>464941</v>
      </c>
      <c r="B229" s="121">
        <v>1692</v>
      </c>
      <c r="C229" s="123">
        <v>1268</v>
      </c>
      <c r="D229" s="122" t="s">
        <v>153</v>
      </c>
      <c r="E229" s="255">
        <v>582503</v>
      </c>
      <c r="F229" s="256">
        <v>2914</v>
      </c>
      <c r="G229" s="257">
        <v>2182</v>
      </c>
      <c r="H229" t="s">
        <v>153</v>
      </c>
      <c r="I229" s="255">
        <v>806914</v>
      </c>
      <c r="J229" s="256">
        <v>4011</v>
      </c>
      <c r="K229" s="257">
        <v>2182</v>
      </c>
    </row>
    <row r="230" spans="1:11" x14ac:dyDescent="0.25">
      <c r="A230" s="50">
        <v>465211</v>
      </c>
      <c r="B230" s="121">
        <v>1268</v>
      </c>
      <c r="C230" s="123">
        <v>846</v>
      </c>
      <c r="D230" s="122" t="s">
        <v>153</v>
      </c>
      <c r="E230" s="255">
        <v>582841</v>
      </c>
      <c r="F230" s="256">
        <v>2182</v>
      </c>
      <c r="G230" s="257">
        <v>1456</v>
      </c>
      <c r="H230" t="s">
        <v>153</v>
      </c>
      <c r="I230" s="255">
        <v>807378</v>
      </c>
      <c r="J230" s="256">
        <v>2704</v>
      </c>
      <c r="K230" s="257">
        <v>1456</v>
      </c>
    </row>
    <row r="231" spans="1:11" x14ac:dyDescent="0.25">
      <c r="A231" s="50">
        <v>465479</v>
      </c>
      <c r="B231" s="121">
        <v>846</v>
      </c>
      <c r="C231" s="123">
        <v>422</v>
      </c>
      <c r="D231" s="122" t="s">
        <v>153</v>
      </c>
      <c r="E231" s="255">
        <v>583177</v>
      </c>
      <c r="F231" s="256">
        <v>1456</v>
      </c>
      <c r="G231" s="257">
        <v>725</v>
      </c>
      <c r="H231" t="s">
        <v>153</v>
      </c>
      <c r="I231" s="255">
        <v>807847</v>
      </c>
      <c r="J231" s="256">
        <v>1388</v>
      </c>
      <c r="K231" s="257">
        <v>725</v>
      </c>
    </row>
    <row r="232" spans="1:11" x14ac:dyDescent="0.25">
      <c r="A232" s="50">
        <v>465749</v>
      </c>
      <c r="B232" s="121">
        <v>422</v>
      </c>
      <c r="C232" s="123">
        <v>0</v>
      </c>
      <c r="D232" s="122" t="s">
        <v>153</v>
      </c>
      <c r="E232" s="255">
        <v>583515</v>
      </c>
      <c r="F232" s="256">
        <v>725</v>
      </c>
      <c r="G232" s="257">
        <v>0</v>
      </c>
      <c r="H232" t="s">
        <v>153</v>
      </c>
      <c r="I232" s="255">
        <v>808341</v>
      </c>
      <c r="J232" s="256">
        <v>0</v>
      </c>
      <c r="K232" s="257">
        <v>0</v>
      </c>
    </row>
    <row r="233" spans="1:11" x14ac:dyDescent="0.25">
      <c r="A233" s="50">
        <v>466017</v>
      </c>
      <c r="B233" s="121">
        <v>0</v>
      </c>
      <c r="C233" s="127"/>
      <c r="D233" s="122" t="s">
        <v>153</v>
      </c>
      <c r="E233" s="255">
        <v>583851</v>
      </c>
      <c r="F233" s="256">
        <v>0</v>
      </c>
      <c r="G233" s="257"/>
      <c r="H233" t="s">
        <v>153</v>
      </c>
      <c r="I233" s="255"/>
      <c r="J233" s="256"/>
      <c r="K233" s="257"/>
    </row>
  </sheetData>
  <sheetProtection algorithmName="SHA-512" hashValue="m4rjr9NgCqVBh8y4RCOsmEuk0bv6JnceFyUZV6uYpjLQo6VEUML6+5a6SxiQ5kNuRYcHLmIrgS1iORqjXtv3tA==" saltValue="AJigG3IyrLef7kMKoW+zIA==" spinCount="100000" sheet="1" objects="1" scenarios="1"/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A36932-A8C8-4BEF-A09D-60E3620197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Planilla de Liquidación</vt:lpstr>
      <vt:lpstr>Escala Impuesto 2023 mensual</vt:lpstr>
      <vt:lpstr>AnexoIV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Paula Andrea Ataria</cp:lastModifiedBy>
  <cp:revision/>
  <cp:lastPrinted>2022-12-28T21:59:59Z</cp:lastPrinted>
  <dcterms:created xsi:type="dcterms:W3CDTF">2021-06-15T23:45:15Z</dcterms:created>
  <dcterms:modified xsi:type="dcterms:W3CDTF">2023-08-30T19:15:09Z</dcterms:modified>
  <cp:category/>
  <cp:contentStatus/>
</cp:coreProperties>
</file>