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taria\OneDrive - Económicas - UBA\Documentos\Consejo\Planilla 4 categoría Revisión\Modelo 2023\desde MAYO2023\DEFINITIVA\"/>
    </mc:Choice>
  </mc:AlternateContent>
  <workbookProtection workbookAlgorithmName="SHA-512" workbookHashValue="xajp0fJPniVLmWATRd6vSpgLFOKodg/xTJ/0KTk4c83BZOuXZIxfI947pXvs5aRraOwgQWMicwaRSjes2jsEOg==" workbookSaltValue="+7/CEQczFEJ+mKuB2xn2WQ==" workbookSpinCount="100000" lockStructure="1"/>
  <bookViews>
    <workbookView xWindow="-120" yWindow="-120" windowWidth="29040" windowHeight="15840"/>
  </bookViews>
  <sheets>
    <sheet name="Planilla de Liquidación" sheetId="1" r:id="rId1"/>
    <sheet name="Escala Impuesto 2023 mensual" sheetId="2" r:id="rId2"/>
    <sheet name="AnexoIV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1" l="1"/>
  <c r="M15" i="1" l="1"/>
  <c r="G15" i="1" l="1"/>
  <c r="D108" i="1" l="1"/>
  <c r="M83" i="1" s="1"/>
  <c r="D119" i="1"/>
  <c r="E119" i="1" s="1"/>
  <c r="D118" i="1"/>
  <c r="E118" i="1" s="1"/>
  <c r="D117" i="1"/>
  <c r="E117" i="1" s="1"/>
  <c r="D115" i="1"/>
  <c r="E115" i="1" s="1"/>
  <c r="D114" i="1"/>
  <c r="E114" i="1" s="1"/>
  <c r="D113" i="1"/>
  <c r="E113" i="1" s="1"/>
  <c r="D112" i="1"/>
  <c r="E112" i="1" s="1"/>
  <c r="D111" i="1"/>
  <c r="E111" i="1" s="1"/>
  <c r="D110" i="1"/>
  <c r="E110" i="1" s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B68" i="1" s="1"/>
  <c r="M71" i="1"/>
  <c r="M65" i="1"/>
  <c r="L71" i="1"/>
  <c r="L65" i="1"/>
  <c r="K71" i="1"/>
  <c r="K65" i="1"/>
  <c r="J71" i="1"/>
  <c r="J65" i="1"/>
  <c r="I71" i="1"/>
  <c r="I65" i="1"/>
  <c r="H71" i="1"/>
  <c r="H65" i="1"/>
  <c r="G71" i="1"/>
  <c r="G65" i="1"/>
  <c r="F71" i="1"/>
  <c r="F65" i="1"/>
  <c r="E71" i="1"/>
  <c r="E65" i="1"/>
  <c r="D71" i="1"/>
  <c r="D65" i="1"/>
  <c r="C71" i="1"/>
  <c r="C65" i="1"/>
  <c r="B71" i="1"/>
  <c r="B69" i="1"/>
  <c r="B67" i="1"/>
  <c r="B65" i="1"/>
  <c r="E116" i="1" l="1"/>
  <c r="B85" i="1" s="1"/>
  <c r="E109" i="1"/>
  <c r="G83" i="1"/>
  <c r="K83" i="1"/>
  <c r="H83" i="1"/>
  <c r="C83" i="1"/>
  <c r="D83" i="1"/>
  <c r="L83" i="1"/>
  <c r="E83" i="1"/>
  <c r="F83" i="1"/>
  <c r="I83" i="1"/>
  <c r="B83" i="1"/>
  <c r="J83" i="1"/>
  <c r="C67" i="1"/>
  <c r="D67" i="1" s="1"/>
  <c r="C69" i="1"/>
  <c r="C68" i="1"/>
  <c r="D85" i="1" l="1"/>
  <c r="K85" i="1"/>
  <c r="M84" i="1"/>
  <c r="B84" i="1"/>
  <c r="G84" i="1"/>
  <c r="D84" i="1"/>
  <c r="F84" i="1"/>
  <c r="L84" i="1"/>
  <c r="I85" i="1"/>
  <c r="H85" i="1"/>
  <c r="G85" i="1"/>
  <c r="E85" i="1"/>
  <c r="C84" i="1"/>
  <c r="K84" i="1"/>
  <c r="I84" i="1"/>
  <c r="H84" i="1"/>
  <c r="E84" i="1"/>
  <c r="J84" i="1"/>
  <c r="E67" i="1"/>
  <c r="D69" i="1"/>
  <c r="D68" i="1"/>
  <c r="E68" i="1" s="1"/>
  <c r="E69" i="1" l="1"/>
  <c r="F67" i="1"/>
  <c r="G67" i="1" s="1"/>
  <c r="F68" i="1"/>
  <c r="G68" i="1" s="1"/>
  <c r="H67" i="1" l="1"/>
  <c r="F69" i="1"/>
  <c r="H68" i="1"/>
  <c r="I68" i="1" s="1"/>
  <c r="I67" i="1" l="1"/>
  <c r="J67" i="1" s="1"/>
  <c r="G69" i="1"/>
  <c r="H69" i="1" s="1"/>
  <c r="J68" i="1"/>
  <c r="K68" i="1" s="1"/>
  <c r="K67" i="1" l="1"/>
  <c r="L67" i="1" s="1"/>
  <c r="M67" i="1" s="1"/>
  <c r="I69" i="1"/>
  <c r="L68" i="1"/>
  <c r="M68" i="1" s="1"/>
  <c r="J69" i="1" l="1"/>
  <c r="K69" i="1" s="1"/>
  <c r="L69" i="1" l="1"/>
  <c r="M69" i="1" s="1"/>
  <c r="C166" i="1" l="1"/>
  <c r="C165" i="1"/>
  <c r="C164" i="1"/>
  <c r="B53" i="1"/>
  <c r="M55" i="1"/>
  <c r="L55" i="1"/>
  <c r="K55" i="1"/>
  <c r="J55" i="1"/>
  <c r="I55" i="1"/>
  <c r="H55" i="1"/>
  <c r="G55" i="1"/>
  <c r="F55" i="1"/>
  <c r="E55" i="1"/>
  <c r="D55" i="1"/>
  <c r="C55" i="1"/>
  <c r="B55" i="1"/>
  <c r="M50" i="1"/>
  <c r="L50" i="1"/>
  <c r="K50" i="1"/>
  <c r="J50" i="1"/>
  <c r="I50" i="1"/>
  <c r="H50" i="1"/>
  <c r="G50" i="1"/>
  <c r="F50" i="1"/>
  <c r="E50" i="1"/>
  <c r="D50" i="1"/>
  <c r="C50" i="1"/>
  <c r="B50" i="1"/>
  <c r="M155" i="1"/>
  <c r="M158" i="1" s="1"/>
  <c r="L155" i="1"/>
  <c r="L158" i="1" s="1"/>
  <c r="K155" i="1"/>
  <c r="K158" i="1" s="1"/>
  <c r="J155" i="1"/>
  <c r="J158" i="1" s="1"/>
  <c r="I155" i="1"/>
  <c r="I158" i="1" s="1"/>
  <c r="H155" i="1"/>
  <c r="H158" i="1" s="1"/>
  <c r="G155" i="1"/>
  <c r="G158" i="1" s="1"/>
  <c r="F155" i="1"/>
  <c r="F158" i="1" s="1"/>
  <c r="E155" i="1"/>
  <c r="E158" i="1" s="1"/>
  <c r="D155" i="1"/>
  <c r="D158" i="1" s="1"/>
  <c r="C155" i="1"/>
  <c r="C158" i="1" s="1"/>
  <c r="B155" i="1"/>
  <c r="B158" i="1" s="1"/>
  <c r="M154" i="1"/>
  <c r="L154" i="1"/>
  <c r="K154" i="1"/>
  <c r="J154" i="1"/>
  <c r="I154" i="1"/>
  <c r="H154" i="1"/>
  <c r="G154" i="1"/>
  <c r="F154" i="1"/>
  <c r="E154" i="1"/>
  <c r="D154" i="1"/>
  <c r="C154" i="1"/>
  <c r="B154" i="1"/>
  <c r="G157" i="1" l="1"/>
  <c r="G156" i="1"/>
  <c r="H157" i="1"/>
  <c r="H156" i="1"/>
  <c r="I157" i="1"/>
  <c r="I156" i="1"/>
  <c r="F157" i="1"/>
  <c r="F156" i="1"/>
  <c r="J156" i="1"/>
  <c r="J157" i="1"/>
  <c r="C157" i="1"/>
  <c r="C156" i="1"/>
  <c r="K157" i="1"/>
  <c r="K156" i="1"/>
  <c r="D157" i="1"/>
  <c r="D156" i="1"/>
  <c r="L157" i="1"/>
  <c r="L156" i="1"/>
  <c r="B156" i="1"/>
  <c r="B157" i="1"/>
  <c r="E157" i="1"/>
  <c r="E156" i="1"/>
  <c r="M157" i="1"/>
  <c r="M156" i="1"/>
  <c r="C167" i="1"/>
  <c r="C52" i="1" l="1"/>
  <c r="D52" i="1"/>
  <c r="E52" i="1"/>
  <c r="F52" i="1"/>
  <c r="G52" i="1"/>
  <c r="H52" i="1"/>
  <c r="I52" i="1"/>
  <c r="J52" i="1"/>
  <c r="K52" i="1"/>
  <c r="L52" i="1"/>
  <c r="M52" i="1"/>
  <c r="B52" i="1"/>
  <c r="M53" i="1" l="1"/>
  <c r="C53" i="1"/>
  <c r="D53" i="1"/>
  <c r="E53" i="1"/>
  <c r="F53" i="1"/>
  <c r="G53" i="1"/>
  <c r="H53" i="1"/>
  <c r="I53" i="1"/>
  <c r="J53" i="1"/>
  <c r="K53" i="1"/>
  <c r="L53" i="1"/>
  <c r="B47" i="1"/>
  <c r="C132" i="1"/>
  <c r="D132" i="1"/>
  <c r="E132" i="1"/>
  <c r="F132" i="1"/>
  <c r="G132" i="1"/>
  <c r="H132" i="1"/>
  <c r="I132" i="1"/>
  <c r="J132" i="1"/>
  <c r="K132" i="1"/>
  <c r="L132" i="1"/>
  <c r="M132" i="1"/>
  <c r="B132" i="1"/>
  <c r="C47" i="1"/>
  <c r="D47" i="1"/>
  <c r="E47" i="1"/>
  <c r="F47" i="1"/>
  <c r="G47" i="1"/>
  <c r="H47" i="1"/>
  <c r="I47" i="1"/>
  <c r="J47" i="1"/>
  <c r="K47" i="1"/>
  <c r="L47" i="1"/>
  <c r="M47" i="1"/>
  <c r="C48" i="1"/>
  <c r="D48" i="1"/>
  <c r="E48" i="1"/>
  <c r="F48" i="1"/>
  <c r="G48" i="1"/>
  <c r="H48" i="1"/>
  <c r="I48" i="1"/>
  <c r="J48" i="1"/>
  <c r="K48" i="1"/>
  <c r="L48" i="1"/>
  <c r="M48" i="1"/>
  <c r="B48" i="1"/>
  <c r="B19" i="1"/>
  <c r="B16" i="1"/>
  <c r="C127" i="1"/>
  <c r="C85" i="1" s="1"/>
  <c r="F127" i="1"/>
  <c r="F85" i="1" s="1"/>
  <c r="J85" i="1"/>
  <c r="L85" i="1"/>
  <c r="M127" i="1"/>
  <c r="M85" i="1" s="1"/>
  <c r="B20" i="1" l="1"/>
  <c r="B22" i="1"/>
  <c r="B21" i="1"/>
  <c r="B66" i="1"/>
  <c r="B41" i="1"/>
  <c r="M19" i="1"/>
  <c r="L19" i="1"/>
  <c r="K19" i="1"/>
  <c r="J19" i="1"/>
  <c r="I19" i="1"/>
  <c r="H19" i="1"/>
  <c r="G19" i="1"/>
  <c r="F19" i="1"/>
  <c r="E19" i="1"/>
  <c r="D19" i="1"/>
  <c r="C19" i="1"/>
  <c r="B43" i="1" l="1"/>
  <c r="B44" i="1" s="1"/>
  <c r="C66" i="1"/>
  <c r="B24" i="1"/>
  <c r="B42" i="1"/>
  <c r="B153" i="1" l="1"/>
  <c r="B150" i="1"/>
  <c r="D66" i="1"/>
  <c r="B89" i="1" l="1"/>
  <c r="B90" i="1" s="1"/>
  <c r="B151" i="1"/>
  <c r="E66" i="1"/>
  <c r="F66" i="1" s="1"/>
  <c r="G66" i="1" s="1"/>
  <c r="B26" i="1"/>
  <c r="C16" i="1"/>
  <c r="D16" i="1"/>
  <c r="E16" i="1"/>
  <c r="F16" i="1"/>
  <c r="I16" i="1"/>
  <c r="J16" i="1"/>
  <c r="K16" i="1"/>
  <c r="L16" i="1"/>
  <c r="M16" i="1"/>
  <c r="M22" i="1" l="1"/>
  <c r="M21" i="1"/>
  <c r="M20" i="1"/>
  <c r="L22" i="1"/>
  <c r="L21" i="1"/>
  <c r="L20" i="1"/>
  <c r="K20" i="1"/>
  <c r="K21" i="1"/>
  <c r="K22" i="1"/>
  <c r="I22" i="1"/>
  <c r="I21" i="1"/>
  <c r="I20" i="1"/>
  <c r="J21" i="1"/>
  <c r="J22" i="1"/>
  <c r="J20" i="1"/>
  <c r="E21" i="1"/>
  <c r="E20" i="1"/>
  <c r="E22" i="1"/>
  <c r="D22" i="1"/>
  <c r="D21" i="1"/>
  <c r="D20" i="1"/>
  <c r="F21" i="1"/>
  <c r="F20" i="1"/>
  <c r="F22" i="1"/>
  <c r="C21" i="1"/>
  <c r="C22" i="1"/>
  <c r="C20" i="1"/>
  <c r="H66" i="1"/>
  <c r="M41" i="1"/>
  <c r="L41" i="1"/>
  <c r="K41" i="1"/>
  <c r="J41" i="1"/>
  <c r="I41" i="1"/>
  <c r="F41" i="1"/>
  <c r="E41" i="1"/>
  <c r="D41" i="1"/>
  <c r="C41" i="1"/>
  <c r="C43" i="1" l="1"/>
  <c r="C44" i="1" s="1"/>
  <c r="E43" i="1"/>
  <c r="E44" i="1" s="1"/>
  <c r="D43" i="1"/>
  <c r="D44" i="1" s="1"/>
  <c r="F43" i="1"/>
  <c r="F44" i="1" s="1"/>
  <c r="F89" i="1" s="1"/>
  <c r="I66" i="1"/>
  <c r="D24" i="1"/>
  <c r="D26" i="1" s="1"/>
  <c r="K24" i="1"/>
  <c r="K26" i="1" s="1"/>
  <c r="D42" i="1"/>
  <c r="E42" i="1"/>
  <c r="C42" i="1"/>
  <c r="F42" i="1"/>
  <c r="J24" i="1"/>
  <c r="J26" i="1" s="1"/>
  <c r="F24" i="1"/>
  <c r="F26" i="1" s="1"/>
  <c r="I24" i="1"/>
  <c r="I26" i="1" s="1"/>
  <c r="L24" i="1"/>
  <c r="L26" i="1" s="1"/>
  <c r="E24" i="1"/>
  <c r="E26" i="1" s="1"/>
  <c r="M24" i="1"/>
  <c r="M26" i="1" s="1"/>
  <c r="C24" i="1"/>
  <c r="C26" i="1" s="1"/>
  <c r="B152" i="1"/>
  <c r="B159" i="1" s="1"/>
  <c r="C89" i="1" l="1"/>
  <c r="C90" i="1" s="1"/>
  <c r="E153" i="1"/>
  <c r="E150" i="1"/>
  <c r="E89" i="1"/>
  <c r="D153" i="1"/>
  <c r="D150" i="1"/>
  <c r="F153" i="1"/>
  <c r="F150" i="1"/>
  <c r="D89" i="1"/>
  <c r="C153" i="1"/>
  <c r="C150" i="1"/>
  <c r="J66" i="1"/>
  <c r="K66" i="1" s="1"/>
  <c r="B161" i="1"/>
  <c r="B160" i="1"/>
  <c r="D151" i="1" l="1"/>
  <c r="E151" i="1"/>
  <c r="F151" i="1"/>
  <c r="F152" i="1" s="1"/>
  <c r="F159" i="1" s="1"/>
  <c r="C151" i="1"/>
  <c r="L66" i="1"/>
  <c r="M66" i="1" s="1"/>
  <c r="D90" i="1"/>
  <c r="E90" i="1" s="1"/>
  <c r="F90" i="1" s="1"/>
  <c r="B54" i="1"/>
  <c r="B49" i="1"/>
  <c r="B63" i="1" l="1"/>
  <c r="B62" i="1"/>
  <c r="B61" i="1"/>
  <c r="F161" i="1"/>
  <c r="F160" i="1"/>
  <c r="E152" i="1"/>
  <c r="E159" i="1" s="1"/>
  <c r="D152" i="1"/>
  <c r="D159" i="1" s="1"/>
  <c r="C152" i="1"/>
  <c r="C159" i="1" s="1"/>
  <c r="B73" i="1" l="1"/>
  <c r="B75" i="1" s="1"/>
  <c r="D161" i="1"/>
  <c r="D160" i="1"/>
  <c r="C160" i="1"/>
  <c r="C49" i="1" s="1"/>
  <c r="C161" i="1"/>
  <c r="C54" i="1" s="1"/>
  <c r="E161" i="1"/>
  <c r="E160" i="1"/>
  <c r="G16" i="1"/>
  <c r="G20" i="1" l="1"/>
  <c r="G22" i="1"/>
  <c r="G21" i="1"/>
  <c r="C63" i="1"/>
  <c r="C62" i="1"/>
  <c r="C61" i="1"/>
  <c r="C73" i="1" s="1"/>
  <c r="G41" i="1"/>
  <c r="G43" i="1" l="1"/>
  <c r="G44" i="1" s="1"/>
  <c r="G89" i="1" s="1"/>
  <c r="G42" i="1"/>
  <c r="G24" i="1"/>
  <c r="G26" i="1" s="1"/>
  <c r="D49" i="1"/>
  <c r="D54" i="1"/>
  <c r="E54" i="1"/>
  <c r="H16" i="1"/>
  <c r="H21" i="1" l="1"/>
  <c r="H22" i="1"/>
  <c r="H20" i="1"/>
  <c r="D62" i="1"/>
  <c r="D61" i="1"/>
  <c r="D63" i="1"/>
  <c r="G153" i="1"/>
  <c r="G150" i="1"/>
  <c r="G90" i="1"/>
  <c r="C75" i="1"/>
  <c r="H41" i="1"/>
  <c r="F49" i="1"/>
  <c r="E49" i="1"/>
  <c r="F54" i="1"/>
  <c r="D73" i="1" l="1"/>
  <c r="K43" i="1"/>
  <c r="K44" i="1" s="1"/>
  <c r="K89" i="1" s="1"/>
  <c r="M43" i="1"/>
  <c r="M44" i="1" s="1"/>
  <c r="M89" i="1" s="1"/>
  <c r="J43" i="1"/>
  <c r="J44" i="1" s="1"/>
  <c r="J89" i="1" s="1"/>
  <c r="I43" i="1"/>
  <c r="I44" i="1" s="1"/>
  <c r="I89" i="1" s="1"/>
  <c r="L43" i="1"/>
  <c r="L44" i="1" s="1"/>
  <c r="L89" i="1" s="1"/>
  <c r="H43" i="1"/>
  <c r="H44" i="1" s="1"/>
  <c r="H89" i="1" s="1"/>
  <c r="E63" i="1"/>
  <c r="E62" i="1"/>
  <c r="E61" i="1"/>
  <c r="F63" i="1"/>
  <c r="F62" i="1"/>
  <c r="F61" i="1"/>
  <c r="F73" i="1" s="1"/>
  <c r="M42" i="1"/>
  <c r="L42" i="1"/>
  <c r="G151" i="1"/>
  <c r="G152" i="1" s="1"/>
  <c r="G159" i="1" s="1"/>
  <c r="H24" i="1"/>
  <c r="H26" i="1" s="1"/>
  <c r="J42" i="1"/>
  <c r="K42" i="1"/>
  <c r="H42" i="1"/>
  <c r="I42" i="1"/>
  <c r="E73" i="1" l="1"/>
  <c r="I153" i="1"/>
  <c r="I150" i="1"/>
  <c r="J153" i="1"/>
  <c r="J150" i="1"/>
  <c r="L153" i="1"/>
  <c r="L150" i="1"/>
  <c r="M153" i="1"/>
  <c r="M150" i="1"/>
  <c r="H153" i="1"/>
  <c r="H150" i="1"/>
  <c r="K153" i="1"/>
  <c r="K150" i="1"/>
  <c r="H90" i="1"/>
  <c r="F75" i="1"/>
  <c r="D75" i="1"/>
  <c r="G161" i="1"/>
  <c r="G160" i="1"/>
  <c r="I90" i="1" l="1"/>
  <c r="J90" i="1" s="1"/>
  <c r="K90" i="1" s="1"/>
  <c r="L90" i="1" s="1"/>
  <c r="M90" i="1" s="1"/>
  <c r="M151" i="1"/>
  <c r="I151" i="1"/>
  <c r="I152" i="1" s="1"/>
  <c r="I159" i="1" s="1"/>
  <c r="K151" i="1"/>
  <c r="L151" i="1"/>
  <c r="J151" i="1"/>
  <c r="H151" i="1"/>
  <c r="E75" i="1"/>
  <c r="G49" i="1"/>
  <c r="G54" i="1"/>
  <c r="G61" i="1" l="1"/>
  <c r="G63" i="1"/>
  <c r="G62" i="1"/>
  <c r="I161" i="1"/>
  <c r="I160" i="1"/>
  <c r="H152" i="1"/>
  <c r="H159" i="1" s="1"/>
  <c r="J152" i="1" l="1"/>
  <c r="J159" i="1" s="1"/>
  <c r="H161" i="1"/>
  <c r="I54" i="1" s="1"/>
  <c r="H160" i="1"/>
  <c r="H49" i="1" s="1"/>
  <c r="H54" i="1" l="1"/>
  <c r="H63" i="1" s="1"/>
  <c r="J161" i="1"/>
  <c r="J54" i="1" s="1"/>
  <c r="J160" i="1"/>
  <c r="J49" i="1" s="1"/>
  <c r="K152" i="1"/>
  <c r="K159" i="1" s="1"/>
  <c r="I49" i="1"/>
  <c r="I63" i="1" l="1"/>
  <c r="I62" i="1"/>
  <c r="I61" i="1"/>
  <c r="I73" i="1" s="1"/>
  <c r="J62" i="1"/>
  <c r="J61" i="1"/>
  <c r="J73" i="1" s="1"/>
  <c r="J63" i="1"/>
  <c r="H61" i="1"/>
  <c r="H62" i="1"/>
  <c r="K160" i="1"/>
  <c r="K49" i="1" s="1"/>
  <c r="K161" i="1"/>
  <c r="M152" i="1"/>
  <c r="M159" i="1" s="1"/>
  <c r="L152" i="1"/>
  <c r="L159" i="1" s="1"/>
  <c r="H73" i="1" l="1"/>
  <c r="H75" i="1" s="1"/>
  <c r="J75" i="1"/>
  <c r="I75" i="1"/>
  <c r="L161" i="1"/>
  <c r="L54" i="1" s="1"/>
  <c r="L160" i="1"/>
  <c r="L49" i="1" s="1"/>
  <c r="M161" i="1"/>
  <c r="M160" i="1"/>
  <c r="K54" i="1"/>
  <c r="K63" i="1" s="1"/>
  <c r="K62" i="1" l="1"/>
  <c r="L63" i="1"/>
  <c r="L62" i="1"/>
  <c r="L61" i="1"/>
  <c r="L73" i="1" s="1"/>
  <c r="K61" i="1"/>
  <c r="K73" i="1" s="1"/>
  <c r="M49" i="1"/>
  <c r="M54" i="1"/>
  <c r="B56" i="1"/>
  <c r="B57" i="1" s="1"/>
  <c r="M63" i="1" l="1"/>
  <c r="M62" i="1"/>
  <c r="M61" i="1"/>
  <c r="K75" i="1"/>
  <c r="L75" i="1"/>
  <c r="B59" i="1"/>
  <c r="C56" i="1"/>
  <c r="C57" i="1" s="1"/>
  <c r="B76" i="1" l="1"/>
  <c r="B77" i="1" s="1"/>
  <c r="C59" i="1"/>
  <c r="B145" i="1" l="1"/>
  <c r="B79" i="1" s="1"/>
  <c r="B78" i="1"/>
  <c r="C76" i="1"/>
  <c r="C77" i="1" s="1"/>
  <c r="C145" i="1" l="1"/>
  <c r="B80" i="1"/>
  <c r="B146" i="1" s="1"/>
  <c r="C78" i="1" l="1"/>
  <c r="C79" i="1"/>
  <c r="B147" i="1"/>
  <c r="B148" i="1" s="1"/>
  <c r="B87" i="1" s="1"/>
  <c r="C80" i="1" l="1"/>
  <c r="B88" i="1"/>
  <c r="D56" i="1"/>
  <c r="D57" i="1" s="1"/>
  <c r="C146" i="1" l="1"/>
  <c r="B91" i="1"/>
  <c r="B96" i="1" s="1"/>
  <c r="D59" i="1"/>
  <c r="C147" i="1" l="1"/>
  <c r="C148" i="1" s="1"/>
  <c r="D2" i="2"/>
  <c r="D3" i="2" s="1"/>
  <c r="D4" i="2" s="1"/>
  <c r="B97" i="1" s="1"/>
  <c r="B101" i="1" s="1"/>
  <c r="D76" i="1"/>
  <c r="D77" i="1" s="1"/>
  <c r="B98" i="1" l="1"/>
  <c r="B103" i="1"/>
  <c r="C87" i="1"/>
  <c r="C88" i="1" s="1"/>
  <c r="C91" i="1" s="1"/>
  <c r="C96" i="1" s="1"/>
  <c r="D145" i="1"/>
  <c r="B102" i="1" l="1"/>
  <c r="D78" i="1"/>
  <c r="D79" i="1"/>
  <c r="E2" i="2"/>
  <c r="E3" i="2" s="1"/>
  <c r="E4" i="2" s="1"/>
  <c r="C97" i="1" s="1"/>
  <c r="C98" i="1" l="1"/>
  <c r="C101" i="1"/>
  <c r="C103" i="1" s="1"/>
  <c r="D80" i="1"/>
  <c r="E56" i="1"/>
  <c r="E57" i="1" s="1"/>
  <c r="C100" i="1" l="1"/>
  <c r="C102" i="1" s="1"/>
  <c r="D147" i="1"/>
  <c r="D146" i="1"/>
  <c r="E59" i="1"/>
  <c r="D148" i="1" l="1"/>
  <c r="E76" i="1"/>
  <c r="E77" i="1" s="1"/>
  <c r="D87" i="1" l="1"/>
  <c r="D88" i="1" s="1"/>
  <c r="D91" i="1" s="1"/>
  <c r="D96" i="1" s="1"/>
  <c r="F2" i="2" s="1"/>
  <c r="F3" i="2" s="1"/>
  <c r="F4" i="2" s="1"/>
  <c r="D97" i="1" s="1"/>
  <c r="E145" i="1"/>
  <c r="E78" i="1" s="1"/>
  <c r="D98" i="1" l="1"/>
  <c r="D101" i="1"/>
  <c r="D103" i="1" s="1"/>
  <c r="E79" i="1"/>
  <c r="E80" i="1" s="1"/>
  <c r="F56" i="1"/>
  <c r="F57" i="1" l="1"/>
  <c r="G58" i="1" s="1"/>
  <c r="G74" i="1" s="1"/>
  <c r="G75" i="1" s="1"/>
  <c r="D100" i="1"/>
  <c r="D102" i="1" s="1"/>
  <c r="E147" i="1"/>
  <c r="E146" i="1"/>
  <c r="E148" i="1" l="1"/>
  <c r="F59" i="1"/>
  <c r="E87" i="1" l="1"/>
  <c r="E88" i="1" s="1"/>
  <c r="E91" i="1" s="1"/>
  <c r="E96" i="1" s="1"/>
  <c r="F76" i="1"/>
  <c r="F77" i="1" s="1"/>
  <c r="F145" i="1" l="1"/>
  <c r="F78" i="1" s="1"/>
  <c r="G56" i="1"/>
  <c r="F79" i="1" l="1"/>
  <c r="F80" i="1" s="1"/>
  <c r="F147" i="1" s="1"/>
  <c r="G59" i="1"/>
  <c r="F146" i="1" l="1"/>
  <c r="F148" i="1" s="1"/>
  <c r="F87" i="1" s="1"/>
  <c r="G76" i="1"/>
  <c r="G77" i="1" s="1"/>
  <c r="F88" i="1" l="1"/>
  <c r="F91" i="1" s="1"/>
  <c r="F96" i="1" s="1"/>
  <c r="G145" i="1"/>
  <c r="G79" i="1" s="1"/>
  <c r="H56" i="1"/>
  <c r="H57" i="1" s="1"/>
  <c r="G78" i="1" l="1"/>
  <c r="G80" i="1" s="1"/>
  <c r="G147" i="1" s="1"/>
  <c r="H59" i="1"/>
  <c r="H76" i="1" l="1"/>
  <c r="H77" i="1" s="1"/>
  <c r="H145" i="1" l="1"/>
  <c r="I56" i="1"/>
  <c r="I57" i="1" s="1"/>
  <c r="H79" i="1" l="1"/>
  <c r="H78" i="1"/>
  <c r="I59" i="1"/>
  <c r="H80" i="1" l="1"/>
  <c r="I76" i="1"/>
  <c r="I77" i="1" s="1"/>
  <c r="I145" i="1" l="1"/>
  <c r="I78" i="1" s="1"/>
  <c r="J56" i="1"/>
  <c r="J57" i="1" s="1"/>
  <c r="I79" i="1" l="1"/>
  <c r="I80" i="1" s="1"/>
  <c r="J59" i="1"/>
  <c r="J76" i="1" l="1"/>
  <c r="J77" i="1" s="1"/>
  <c r="J145" i="1" l="1"/>
  <c r="J78" i="1" s="1"/>
  <c r="K56" i="1"/>
  <c r="K57" i="1" s="1"/>
  <c r="J79" i="1" l="1"/>
  <c r="J80" i="1" s="1"/>
  <c r="K59" i="1"/>
  <c r="K76" i="1" l="1"/>
  <c r="K77" i="1" s="1"/>
  <c r="K145" i="1" l="1"/>
  <c r="K78" i="1" s="1"/>
  <c r="L56" i="1"/>
  <c r="L57" i="1" s="1"/>
  <c r="M58" i="1" s="1"/>
  <c r="K79" i="1" l="1"/>
  <c r="K80" i="1" s="1"/>
  <c r="M74" i="1"/>
  <c r="M75" i="1" s="1"/>
  <c r="L59" i="1"/>
  <c r="L76" i="1" l="1"/>
  <c r="L77" i="1" s="1"/>
  <c r="L145" i="1" l="1"/>
  <c r="L78" i="1" s="1"/>
  <c r="M56" i="1"/>
  <c r="M59" i="1" s="1"/>
  <c r="L79" i="1" l="1"/>
  <c r="L80" i="1" s="1"/>
  <c r="M76" i="1"/>
  <c r="M77" i="1" s="1"/>
  <c r="M145" i="1" l="1"/>
  <c r="M79" i="1" s="1"/>
  <c r="M78" i="1" l="1"/>
  <c r="M80" i="1" s="1"/>
  <c r="G2" i="2"/>
  <c r="G3" i="2" s="1"/>
  <c r="G4" i="2" s="1"/>
  <c r="E97" i="1" s="1"/>
  <c r="G146" i="1"/>
  <c r="G148" i="1" s="1"/>
  <c r="G87" i="1" s="1"/>
  <c r="E98" i="1" l="1"/>
  <c r="E101" i="1"/>
  <c r="E103" i="1" s="1"/>
  <c r="H2" i="2"/>
  <c r="H3" i="2" s="1"/>
  <c r="H4" i="2" s="1"/>
  <c r="F97" i="1" s="1"/>
  <c r="F98" i="1" l="1"/>
  <c r="F101" i="1"/>
  <c r="F103" i="1" s="1"/>
  <c r="E100" i="1"/>
  <c r="E102" i="1" s="1"/>
  <c r="G88" i="1"/>
  <c r="F100" i="1" l="1"/>
  <c r="F102" i="1" s="1"/>
  <c r="G91" i="1"/>
  <c r="G96" i="1" s="1"/>
  <c r="I2" i="2" s="1"/>
  <c r="I3" i="2" s="1"/>
  <c r="I4" i="2" s="1"/>
  <c r="G97" i="1" s="1"/>
  <c r="H147" i="1"/>
  <c r="H146" i="1"/>
  <c r="G98" i="1" l="1"/>
  <c r="G101" i="1"/>
  <c r="G103" i="1" s="1"/>
  <c r="H148" i="1"/>
  <c r="H87" i="1" s="1"/>
  <c r="G100" i="1" l="1"/>
  <c r="G102" i="1" s="1"/>
  <c r="H88" i="1"/>
  <c r="H91" i="1" l="1"/>
  <c r="H96" i="1" s="1"/>
  <c r="J2" i="2" s="1"/>
  <c r="J3" i="2" s="1"/>
  <c r="J4" i="2" s="1"/>
  <c r="H97" i="1" s="1"/>
  <c r="I147" i="1"/>
  <c r="I146" i="1"/>
  <c r="H98" i="1" l="1"/>
  <c r="H101" i="1"/>
  <c r="H103" i="1" s="1"/>
  <c r="I148" i="1"/>
  <c r="H100" i="1" l="1"/>
  <c r="H102" i="1" s="1"/>
  <c r="I87" i="1"/>
  <c r="I88" i="1" s="1"/>
  <c r="J147" i="1" l="1"/>
  <c r="J146" i="1"/>
  <c r="I91" i="1"/>
  <c r="I96" i="1" s="1"/>
  <c r="K2" i="2" s="1"/>
  <c r="K3" i="2" s="1"/>
  <c r="K4" i="2" s="1"/>
  <c r="I97" i="1" s="1"/>
  <c r="I98" i="1" l="1"/>
  <c r="I101" i="1"/>
  <c r="I103" i="1" s="1"/>
  <c r="J148" i="1"/>
  <c r="J87" i="1" s="1"/>
  <c r="J88" i="1" s="1"/>
  <c r="I100" i="1" l="1"/>
  <c r="I102" i="1" s="1"/>
  <c r="K147" i="1"/>
  <c r="J91" i="1"/>
  <c r="J96" i="1" s="1"/>
  <c r="L2" i="2" s="1"/>
  <c r="L3" i="2" s="1"/>
  <c r="L4" i="2" s="1"/>
  <c r="J97" i="1" s="1"/>
  <c r="K146" i="1"/>
  <c r="K148" i="1" l="1"/>
  <c r="K87" i="1" s="1"/>
  <c r="K88" i="1" s="1"/>
  <c r="J98" i="1"/>
  <c r="J101" i="1"/>
  <c r="J103" i="1" s="1"/>
  <c r="J100" i="1" l="1"/>
  <c r="J102" i="1" s="1"/>
  <c r="L146" i="1"/>
  <c r="L147" i="1"/>
  <c r="K91" i="1"/>
  <c r="K96" i="1" s="1"/>
  <c r="M2" i="2" s="1"/>
  <c r="M3" i="2" s="1"/>
  <c r="M4" i="2" s="1"/>
  <c r="K97" i="1" s="1"/>
  <c r="K98" i="1" l="1"/>
  <c r="K101" i="1"/>
  <c r="K103" i="1"/>
  <c r="L148" i="1"/>
  <c r="L87" i="1" s="1"/>
  <c r="L88" i="1" s="1"/>
  <c r="M147" i="1" s="1"/>
  <c r="K100" i="1" l="1"/>
  <c r="K102" i="1" s="1"/>
  <c r="L91" i="1"/>
  <c r="L96" i="1" s="1"/>
  <c r="N2" i="2" s="1"/>
  <c r="N3" i="2" s="1"/>
  <c r="N4" i="2" s="1"/>
  <c r="L97" i="1" s="1"/>
  <c r="M146" i="1"/>
  <c r="M148" i="1" s="1"/>
  <c r="M87" i="1" s="1"/>
  <c r="L98" i="1" l="1"/>
  <c r="L101" i="1"/>
  <c r="L103" i="1" s="1"/>
  <c r="M88" i="1"/>
  <c r="M91" i="1" s="1"/>
  <c r="M96" i="1" s="1"/>
  <c r="O2" i="2" s="1"/>
  <c r="O3" i="2" s="1"/>
  <c r="O4" i="2" s="1"/>
  <c r="M97" i="1" s="1"/>
  <c r="M98" i="1" l="1"/>
  <c r="M101" i="1"/>
  <c r="M103" i="1" s="1"/>
  <c r="L100" i="1"/>
  <c r="L102" i="1" s="1"/>
  <c r="M100" i="1" l="1"/>
  <c r="M102" i="1" s="1"/>
</calcChain>
</file>

<file path=xl/sharedStrings.xml><?xml version="1.0" encoding="utf-8"?>
<sst xmlns="http://schemas.openxmlformats.org/spreadsheetml/2006/main" count="726" uniqueCount="173">
  <si>
    <t>Conceptos Liquidados por el agente de retención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</si>
  <si>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</si>
  <si>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</si>
  <si>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</si>
  <si>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</si>
  <si>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</si>
  <si>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</si>
  <si>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</si>
  <si>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</si>
  <si>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</si>
  <si>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</si>
  <si>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</si>
  <si>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</si>
  <si>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Sueldo bruto</t>
  </si>
  <si>
    <t>Antigüedad</t>
  </si>
  <si>
    <t>Horas Extras Gravadas</t>
  </si>
  <si>
    <t xml:space="preserve">Horas Extras (diferencia exenta HS Extra - HS Comunes) </t>
  </si>
  <si>
    <t>Comisiones</t>
  </si>
  <si>
    <t>Plus Vacacional</t>
  </si>
  <si>
    <t>SAC</t>
  </si>
  <si>
    <t>Total conceptos remunerativos</t>
  </si>
  <si>
    <t xml:space="preserve">Conceptos no remunerativos habituales </t>
  </si>
  <si>
    <t xml:space="preserve">Conceptos no remunerativos no habituales </t>
  </si>
  <si>
    <t>Total conceptos no remunerativos</t>
  </si>
  <si>
    <t>Jubilación 11%</t>
  </si>
  <si>
    <t>Obra Social 3%</t>
  </si>
  <si>
    <t>Ley 19.032 3%</t>
  </si>
  <si>
    <t>Sindicato</t>
  </si>
  <si>
    <t>Total descuentos</t>
  </si>
  <si>
    <t>Remuneración Neta Mensual</t>
  </si>
  <si>
    <t>Pluriempleo (otros empleos)</t>
  </si>
  <si>
    <t xml:space="preserve">Retribuciones habituales no remunerativas </t>
  </si>
  <si>
    <t xml:space="preserve">Otras retribuciones no habituales remunerativas </t>
  </si>
  <si>
    <t xml:space="preserve">Retribuciones no habituales no remunerativas </t>
  </si>
  <si>
    <t>Conceptos Exentos</t>
  </si>
  <si>
    <t>Deducciones</t>
  </si>
  <si>
    <t xml:space="preserve">Remuneración Bruta Mensual </t>
  </si>
  <si>
    <t>Ganancia Bruta</t>
  </si>
  <si>
    <t>Agente de Retención</t>
  </si>
  <si>
    <t xml:space="preserve">Retribuciones habituales remunerativas </t>
  </si>
  <si>
    <t xml:space="preserve">Retribuciones no habituales remunerativas </t>
  </si>
  <si>
    <t>Pluriempleo</t>
  </si>
  <si>
    <t>Subtotal Ganancia Bruta</t>
  </si>
  <si>
    <t>SAC Proporcional Bruto</t>
  </si>
  <si>
    <t>Ajuste SAC Semestral Bruto Real</t>
  </si>
  <si>
    <t>Total Ganancia Bruta</t>
  </si>
  <si>
    <t>Deducciones Generales</t>
  </si>
  <si>
    <t xml:space="preserve">Intereses de préstamos hipotecarios </t>
  </si>
  <si>
    <t>Alquiler de la casa habitación  (40% hasta el Tope MNI)</t>
  </si>
  <si>
    <t>Personal de casas particulares (Tope MNI)</t>
  </si>
  <si>
    <t>Viáticos corta y media distancia (Tope 40% MNI)</t>
  </si>
  <si>
    <t>Viáticos larga distancia (Tope MNI)</t>
  </si>
  <si>
    <t>Equipamiento e Indumentaria</t>
  </si>
  <si>
    <t>Subtotal deducciones generales</t>
  </si>
  <si>
    <t>Medicina Prepaga (Tope 5% GNSI)</t>
  </si>
  <si>
    <t>Donaciones  (Tope 5% GNSI)</t>
  </si>
  <si>
    <t>Total medicina prepaga y donaciones</t>
  </si>
  <si>
    <t>Deducciones Personales</t>
  </si>
  <si>
    <t>Mínimo no Imponible</t>
  </si>
  <si>
    <t>Cónyuge</t>
  </si>
  <si>
    <t>Hijos</t>
  </si>
  <si>
    <t>Hijos Incapacitados para el trabajo</t>
  </si>
  <si>
    <t xml:space="preserve">Deducción Especial Incrementada </t>
  </si>
  <si>
    <t>Deducción Especial Adicional (DEA) 1° Parte Mensual</t>
  </si>
  <si>
    <t>Deducción Especial Adicional (DEA) 1° Parte Acumulada</t>
  </si>
  <si>
    <t>Deducción Especial Adicional (DEA) 2° Parte Mensual</t>
  </si>
  <si>
    <t>Deducción Especial Adicional (DEA) 2° Parte Acumulada</t>
  </si>
  <si>
    <t>Total deducciones personales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</si>
  <si>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</si>
  <si>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</si>
  <si>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</si>
  <si>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</si>
  <si>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</si>
  <si>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</si>
  <si>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</si>
  <si>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</si>
  <si>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</si>
  <si>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</si>
  <si>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</si>
  <si>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</si>
  <si>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</si>
  <si>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Ganancia Neta Sujeta a Impuesto</t>
  </si>
  <si>
    <t>Datos declarados por el trabajador (F572 WEB)</t>
  </si>
  <si>
    <t>Cargas de familia</t>
  </si>
  <si>
    <t>Intereses de préstamos hipotecarios (Valor declarado)</t>
  </si>
  <si>
    <t>Alquiler de la casa habitación</t>
  </si>
  <si>
    <t>Alquiler de la casa habitación 40%</t>
  </si>
  <si>
    <t>Personal de casas particulares  (Valor declarado)</t>
  </si>
  <si>
    <t xml:space="preserve">Viáticos corta y media Distancia  </t>
  </si>
  <si>
    <t>Viáticos corta y media Distancia 40% MNI</t>
  </si>
  <si>
    <t xml:space="preserve">Viáticos larga distancia  </t>
  </si>
  <si>
    <t>Medicina Prepaga</t>
  </si>
  <si>
    <t>Donaciones</t>
  </si>
  <si>
    <t>Gastos Médicos</t>
  </si>
  <si>
    <t>Seguros</t>
  </si>
  <si>
    <t xml:space="preserve">Ganancia Neta antes de prepaga y donaciones  5% </t>
  </si>
  <si>
    <t>Base imponible</t>
  </si>
  <si>
    <t>Tramo sin horas extras</t>
  </si>
  <si>
    <t>Impuesto Determinado</t>
  </si>
  <si>
    <t>Tramos de escala (art. 94)</t>
  </si>
  <si>
    <t>Importes acumulados</t>
  </si>
  <si>
    <t>Mes</t>
  </si>
  <si>
    <t>Ganancia neta imponible acumulada</t>
  </si>
  <si>
    <t>Pagarán</t>
  </si>
  <si>
    <t>De más de $</t>
  </si>
  <si>
    <t>A $</t>
  </si>
  <si>
    <t>$</t>
  </si>
  <si>
    <t>Más el</t>
  </si>
  <si>
    <t>Sobre el excedente de $</t>
  </si>
  <si>
    <t>en adelante</t>
  </si>
  <si>
    <t>Setiembre</t>
  </si>
  <si>
    <t>Sueldo bruto 
mensual o
promedio</t>
  </si>
  <si>
    <t>Deducción</t>
  </si>
  <si>
    <t xml:space="preserve">Otros conceptos no habituales remunerativos  </t>
  </si>
  <si>
    <t>1- Bono Productividad alcanzado por la exención parcial</t>
  </si>
  <si>
    <t>Parte EXENTA</t>
  </si>
  <si>
    <t>Parte GRAVADA</t>
  </si>
  <si>
    <t>2- Bono Productividad gravado en su totalidad</t>
  </si>
  <si>
    <t>Total Bono Productividad GRAVADO</t>
  </si>
  <si>
    <t xml:space="preserve">Total Bono Productividad Agente Retención </t>
  </si>
  <si>
    <t>Total Bono Productividad Pluriempleo</t>
  </si>
  <si>
    <t xml:space="preserve">Total Bono Productividad </t>
  </si>
  <si>
    <t>Proporcionalidad Bono Productividad Agente Retención</t>
  </si>
  <si>
    <t>Proporcionalidad Bono Productividad  Pluriempleo</t>
  </si>
  <si>
    <t>Bono Productividad Gravado Agente de retención</t>
  </si>
  <si>
    <t>Bono Productividad Gravado Pluriempleo</t>
  </si>
  <si>
    <t>Supuesto empleado: siempre el bono de productividad es remunerativo</t>
  </si>
  <si>
    <t>Bono Productividad</t>
  </si>
  <si>
    <t>Ganancia Neta Sujeta a Impuesto (antes DEA del mes)</t>
  </si>
  <si>
    <r>
      <t xml:space="preserve">Retribuciones habituales remunerativas </t>
    </r>
    <r>
      <rPr>
        <sz val="11"/>
        <color theme="1"/>
        <rFont val="Calibri"/>
        <family val="2"/>
        <scheme val="minor"/>
      </rPr>
      <t>sin horas extras</t>
    </r>
  </si>
  <si>
    <t>Deducciones por recibo de haberes:</t>
  </si>
  <si>
    <t xml:space="preserve">Jubilación </t>
  </si>
  <si>
    <t xml:space="preserve">Obra Social </t>
  </si>
  <si>
    <t>Ley 19.032</t>
  </si>
  <si>
    <t>En % (completar)</t>
  </si>
  <si>
    <t>Supuesto: mes devengado = mes cobrado</t>
  </si>
  <si>
    <t>Ganancia Neta Mensual (antes de m. prepaga y donac.)</t>
  </si>
  <si>
    <t>Ganancia Neta Acumulada (antes de m. prepaga y donac.)</t>
  </si>
  <si>
    <t>Ganancia del mes a considerar</t>
  </si>
  <si>
    <t>Tomar el menor entre 124 Y 125</t>
  </si>
  <si>
    <t xml:space="preserve">Deducciones sobre SAC Proporcional </t>
  </si>
  <si>
    <t>Ajuste Deducciones SAC semestral real</t>
  </si>
  <si>
    <t>Meses en el año en que es carga de familia</t>
  </si>
  <si>
    <t>Hijo 1</t>
  </si>
  <si>
    <t>Hijo 2</t>
  </si>
  <si>
    <t>Hijo 3</t>
  </si>
  <si>
    <t>Hijo 4</t>
  </si>
  <si>
    <t>Hijo 5</t>
  </si>
  <si>
    <t>Hijo 6</t>
  </si>
  <si>
    <t>Hijo incapacitado 1</t>
  </si>
  <si>
    <t>Hijo incapacitado 2</t>
  </si>
  <si>
    <t>Hijo incapacitado 3</t>
  </si>
  <si>
    <t>Cónyuge o conviviente</t>
  </si>
  <si>
    <t>% que computa el/la trabajador/a</t>
  </si>
  <si>
    <t>*</t>
  </si>
  <si>
    <t>Pauta para aplicación de DEA</t>
  </si>
  <si>
    <t>Período Fiscal 2023</t>
  </si>
  <si>
    <t>Incluye modificaciones Decreto 267/2023 y RG AFIP 5358</t>
  </si>
  <si>
    <t>Aplicables a partir de la remuneración y/o haber devengado en:</t>
  </si>
  <si>
    <t>Pauta para aplicación exención SAC (promedio RBM)</t>
  </si>
  <si>
    <t>Promedio de Remuneracion Bruta Mensual p/DEA</t>
  </si>
  <si>
    <t>Aplicable desde ENE/23 h/dev ABR/23</t>
  </si>
  <si>
    <t>Aplicable desde devengado mayo/22</t>
  </si>
  <si>
    <t>Fuente RECIBOS DE HABERES</t>
  </si>
  <si>
    <t>MODELO CÁLCULO RETENCIÓN MENSUAL DEL IMPUESTO A LAS GANANCIAS RG AFIP 4003-E y sus mod.</t>
  </si>
  <si>
    <t>Servicios y herramientas de Educación</t>
  </si>
  <si>
    <t>Viáticos larga distancia terrestre (Tope 4 MNI)</t>
  </si>
  <si>
    <t>Retención Acumulada según cálculo</t>
  </si>
  <si>
    <t>Retención Mensual según cálculo</t>
  </si>
  <si>
    <t>Retención Mensual según recibo de haberes</t>
  </si>
  <si>
    <t>Retención Acumulada según recibo de haberes</t>
  </si>
  <si>
    <t>Diferencia Retención Mensual</t>
  </si>
  <si>
    <t>Diferencia Retención Acumulada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</si>
</sst>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E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Protection="1">
      <protection locked="0"/>
    </xf>
    <xf numFmtId="4" fontId="1" fillId="2" borderId="1" xfId="0" applyNumberFormat="1" applyFont="1" applyFill="1" applyBorder="1" applyAlignment="1">
      <alignment horizontal="center"/>
    </xf>
    <xf numFmtId="0" fontId="2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4" fontId="2" fillId="0" borderId="0" xfId="0" applyNumberFormat="1" applyFont="1" applyAlignment="1">
      <alignment horizontal="center"/>
    </xf>
    <xf numFmtId="0" fontId="5" fillId="6" borderId="1" xfId="0" applyFont="1" applyFill="1" applyBorder="1" applyAlignment="1">
      <alignment horizontal="left"/>
    </xf>
    <xf numFmtId="0" fontId="2" fillId="6" borderId="1" xfId="0" applyFont="1" applyFill="1" applyBorder="1"/>
    <xf numFmtId="4" fontId="2" fillId="0" borderId="0" xfId="0" applyNumberFormat="1" applyFont="1"/>
    <xf numFmtId="0" fontId="2" fillId="4" borderId="0" xfId="0" applyFont="1" applyFill="1"/>
    <xf numFmtId="0" fontId="11" fillId="0" borderId="0" xfId="0" applyFont="1"/>
    <xf numFmtId="0" fontId="5" fillId="3" borderId="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6" xfId="0" applyFont="1" applyFill="1" applyBorder="1"/>
    <xf numFmtId="0" fontId="5" fillId="0" borderId="0" xfId="0" applyFont="1"/>
    <xf numFmtId="0" fontId="4" fillId="0" borderId="1" xfId="0" applyFont="1" applyBorder="1" applyAlignment="1">
      <alignment horizontal="left"/>
    </xf>
    <xf numFmtId="0" fontId="5" fillId="6" borderId="1" xfId="0" applyFont="1" applyFill="1" applyBorder="1"/>
    <xf numFmtId="0" fontId="12" fillId="0" borderId="1" xfId="0" applyFont="1" applyBorder="1"/>
    <xf numFmtId="0" fontId="1" fillId="7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8" borderId="1" xfId="0" applyFont="1" applyFill="1" applyBorder="1"/>
    <xf numFmtId="0" fontId="0" fillId="0" borderId="1" xfId="0" applyBorder="1" applyAlignment="1">
      <alignment horizontal="left"/>
    </xf>
    <xf numFmtId="4" fontId="1" fillId="7" borderId="1" xfId="0" applyNumberFormat="1" applyFont="1" applyFill="1" applyBorder="1" applyAlignment="1">
      <alignment horizontal="center"/>
    </xf>
    <xf numFmtId="0" fontId="0" fillId="0" borderId="27" xfId="0" applyBorder="1"/>
    <xf numFmtId="0" fontId="4" fillId="0" borderId="0" xfId="0" applyFont="1"/>
    <xf numFmtId="4" fontId="5" fillId="0" borderId="0" xfId="0" applyNumberFormat="1" applyFont="1" applyAlignment="1">
      <alignment horizontal="center"/>
    </xf>
    <xf numFmtId="4" fontId="4" fillId="0" borderId="0" xfId="0" applyNumberFormat="1" applyFont="1"/>
    <xf numFmtId="0" fontId="0" fillId="10" borderId="27" xfId="0" applyFill="1" applyBorder="1"/>
    <xf numFmtId="4" fontId="0" fillId="10" borderId="1" xfId="0" applyNumberFormat="1" applyFill="1" applyBorder="1"/>
    <xf numFmtId="0" fontId="0" fillId="11" borderId="1" xfId="0" applyFill="1" applyBorder="1"/>
    <xf numFmtId="4" fontId="0" fillId="11" borderId="1" xfId="0" applyNumberFormat="1" applyFill="1" applyBorder="1"/>
    <xf numFmtId="0" fontId="1" fillId="2" borderId="1" xfId="0" applyFont="1" applyFill="1" applyBorder="1" applyAlignment="1">
      <alignment horizontal="left"/>
    </xf>
    <xf numFmtId="0" fontId="1" fillId="0" borderId="0" xfId="0" applyFont="1"/>
    <xf numFmtId="4" fontId="0" fillId="0" borderId="0" xfId="0" applyNumberFormat="1" applyProtection="1">
      <protection locked="0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4" fontId="5" fillId="3" borderId="1" xfId="0" applyNumberFormat="1" applyFont="1" applyFill="1" applyBorder="1"/>
    <xf numFmtId="0" fontId="5" fillId="9" borderId="1" xfId="0" applyFont="1" applyFill="1" applyBorder="1"/>
    <xf numFmtId="0" fontId="4" fillId="0" borderId="27" xfId="0" applyFont="1" applyBorder="1"/>
    <xf numFmtId="0" fontId="5" fillId="12" borderId="1" xfId="0" applyFont="1" applyFill="1" applyBorder="1" applyAlignment="1">
      <alignment horizontal="left"/>
    </xf>
    <xf numFmtId="0" fontId="2" fillId="12" borderId="1" xfId="0" applyFont="1" applyFill="1" applyBorder="1"/>
    <xf numFmtId="0" fontId="5" fillId="12" borderId="1" xfId="0" applyFont="1" applyFill="1" applyBorder="1"/>
    <xf numFmtId="0" fontId="5" fillId="13" borderId="1" xfId="0" applyFont="1" applyFill="1" applyBorder="1"/>
    <xf numFmtId="4" fontId="5" fillId="13" borderId="1" xfId="0" applyNumberFormat="1" applyFont="1" applyFill="1" applyBorder="1"/>
    <xf numFmtId="0" fontId="1" fillId="5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0" fillId="3" borderId="27" xfId="0" applyFont="1" applyFill="1" applyBorder="1" applyAlignment="1">
      <alignment horizontal="center" vertical="center" wrapText="1"/>
    </xf>
    <xf numFmtId="3" fontId="0" fillId="0" borderId="27" xfId="0" applyNumberFormat="1" applyBorder="1"/>
    <xf numFmtId="0" fontId="10" fillId="3" borderId="28" xfId="0" applyFont="1" applyFill="1" applyBorder="1" applyAlignment="1">
      <alignment horizontal="center" vertical="center" wrapText="1"/>
    </xf>
    <xf numFmtId="0" fontId="5" fillId="15" borderId="1" xfId="0" applyFont="1" applyFill="1" applyBorder="1"/>
    <xf numFmtId="0" fontId="2" fillId="0" borderId="1" xfId="0" applyFont="1" applyBorder="1"/>
    <xf numFmtId="4" fontId="2" fillId="0" borderId="1" xfId="0" applyNumberFormat="1" applyFont="1" applyBorder="1"/>
    <xf numFmtId="43" fontId="0" fillId="0" borderId="0" xfId="1" applyFont="1" applyFill="1" applyAlignment="1">
      <alignment vertical="center"/>
    </xf>
    <xf numFmtId="43" fontId="2" fillId="0" borderId="0" xfId="1" applyFont="1" applyFill="1" applyAlignment="1">
      <alignment vertical="center"/>
    </xf>
    <xf numFmtId="4" fontId="0" fillId="0" borderId="1" xfId="0" applyNumberFormat="1" applyBorder="1" applyProtection="1">
      <protection hidden="1"/>
    </xf>
    <xf numFmtId="4" fontId="4" fillId="0" borderId="1" xfId="0" applyNumberFormat="1" applyFont="1" applyBorder="1" applyProtection="1">
      <protection hidden="1"/>
    </xf>
    <xf numFmtId="4" fontId="4" fillId="14" borderId="1" xfId="0" applyNumberFormat="1" applyFont="1" applyFill="1" applyBorder="1" applyProtection="1">
      <protection hidden="1"/>
    </xf>
    <xf numFmtId="4" fontId="5" fillId="6" borderId="1" xfId="0" applyNumberFormat="1" applyFont="1" applyFill="1" applyBorder="1" applyAlignment="1" applyProtection="1">
      <alignment horizontal="right"/>
      <protection hidden="1"/>
    </xf>
    <xf numFmtId="4" fontId="2" fillId="6" borderId="1" xfId="0" applyNumberFormat="1" applyFont="1" applyFill="1" applyBorder="1" applyProtection="1">
      <protection hidden="1"/>
    </xf>
    <xf numFmtId="0" fontId="0" fillId="4" borderId="0" xfId="0" applyFill="1" applyProtection="1">
      <protection hidden="1"/>
    </xf>
    <xf numFmtId="4" fontId="2" fillId="4" borderId="0" xfId="0" applyNumberFormat="1" applyFont="1" applyFill="1" applyProtection="1">
      <protection hidden="1"/>
    </xf>
    <xf numFmtId="4" fontId="1" fillId="8" borderId="1" xfId="0" applyNumberFormat="1" applyFont="1" applyFill="1" applyBorder="1" applyProtection="1">
      <protection hidden="1"/>
    </xf>
    <xf numFmtId="4" fontId="5" fillId="0" borderId="0" xfId="0" applyNumberFormat="1" applyFont="1" applyProtection="1">
      <protection hidden="1"/>
    </xf>
    <xf numFmtId="4" fontId="1" fillId="5" borderId="1" xfId="0" applyNumberFormat="1" applyFont="1" applyFill="1" applyBorder="1" applyAlignment="1" applyProtection="1">
      <alignment horizontal="center"/>
      <protection hidden="1"/>
    </xf>
    <xf numFmtId="4" fontId="2" fillId="0" borderId="0" xfId="0" applyNumberFormat="1" applyFont="1" applyProtection="1">
      <protection hidden="1"/>
    </xf>
    <xf numFmtId="4" fontId="5" fillId="3" borderId="1" xfId="0" applyNumberFormat="1" applyFont="1" applyFill="1" applyBorder="1" applyProtection="1">
      <protection hidden="1"/>
    </xf>
    <xf numFmtId="4" fontId="1" fillId="7" borderId="1" xfId="0" applyNumberFormat="1" applyFont="1" applyFill="1" applyBorder="1" applyProtection="1">
      <protection hidden="1"/>
    </xf>
    <xf numFmtId="4" fontId="0" fillId="12" borderId="1" xfId="0" applyNumberFormat="1" applyFill="1" applyBorder="1" applyProtection="1">
      <protection hidden="1"/>
    </xf>
    <xf numFmtId="4" fontId="4" fillId="12" borderId="1" xfId="0" applyNumberFormat="1" applyFont="1" applyFill="1" applyBorder="1" applyProtection="1">
      <protection hidden="1"/>
    </xf>
    <xf numFmtId="4" fontId="5" fillId="6" borderId="1" xfId="0" applyNumberFormat="1" applyFont="1" applyFill="1" applyBorder="1" applyProtection="1">
      <protection hidden="1"/>
    </xf>
    <xf numFmtId="4" fontId="14" fillId="14" borderId="1" xfId="0" applyNumberFormat="1" applyFont="1" applyFill="1" applyBorder="1" applyProtection="1">
      <protection hidden="1"/>
    </xf>
    <xf numFmtId="4" fontId="1" fillId="5" borderId="1" xfId="0" applyNumberFormat="1" applyFont="1" applyFill="1" applyBorder="1" applyProtection="1">
      <protection hidden="1"/>
    </xf>
    <xf numFmtId="4" fontId="2" fillId="12" borderId="1" xfId="0" applyNumberFormat="1" applyFont="1" applyFill="1" applyBorder="1" applyProtection="1">
      <protection hidden="1"/>
    </xf>
    <xf numFmtId="4" fontId="5" fillId="13" borderId="1" xfId="0" applyNumberFormat="1" applyFont="1" applyFill="1" applyBorder="1" applyProtection="1">
      <protection hidden="1"/>
    </xf>
    <xf numFmtId="4" fontId="0" fillId="0" borderId="0" xfId="0" applyNumberFormat="1" applyProtection="1">
      <protection hidden="1"/>
    </xf>
    <xf numFmtId="4" fontId="1" fillId="2" borderId="24" xfId="0" applyNumberFormat="1" applyFont="1" applyFill="1" applyBorder="1" applyProtection="1">
      <protection hidden="1"/>
    </xf>
    <xf numFmtId="4" fontId="1" fillId="2" borderId="25" xfId="0" applyNumberFormat="1" applyFont="1" applyFill="1" applyBorder="1" applyProtection="1">
      <protection hidden="1"/>
    </xf>
    <xf numFmtId="4" fontId="1" fillId="2" borderId="2" xfId="0" applyNumberFormat="1" applyFont="1" applyFill="1" applyBorder="1" applyProtection="1">
      <protection hidden="1"/>
    </xf>
    <xf numFmtId="4" fontId="1" fillId="2" borderId="26" xfId="0" applyNumberFormat="1" applyFont="1" applyFill="1" applyBorder="1" applyProtection="1">
      <protection hidden="1"/>
    </xf>
    <xf numFmtId="4" fontId="0" fillId="0" borderId="1" xfId="0" applyNumberForma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4" fontId="14" fillId="0" borderId="1" xfId="0" applyNumberFormat="1" applyFont="1" applyBorder="1" applyProtection="1">
      <protection locked="0"/>
    </xf>
    <xf numFmtId="4" fontId="4" fillId="14" borderId="1" xfId="0" applyNumberFormat="1" applyFont="1" applyFill="1" applyBorder="1" applyProtection="1">
      <protection locked="0"/>
    </xf>
    <xf numFmtId="4" fontId="5" fillId="0" borderId="1" xfId="0" applyNumberFormat="1" applyFont="1" applyBorder="1" applyAlignment="1" applyProtection="1">
      <alignment horizontal="right"/>
      <protection locked="0"/>
    </xf>
    <xf numFmtId="4" fontId="4" fillId="0" borderId="1" xfId="0" applyNumberFormat="1" applyFon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center" vertical="center"/>
      <protection hidden="1"/>
    </xf>
    <xf numFmtId="4" fontId="0" fillId="0" borderId="13" xfId="0" applyNumberForma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" fontId="0" fillId="0" borderId="0" xfId="0" applyNumberFormat="1" applyProtection="1">
      <protection locked="0"/>
    </xf>
    <xf numFmtId="0" fontId="15" fillId="0" borderId="0" xfId="0" applyFont="1"/>
    <xf numFmtId="0" fontId="14" fillId="0" borderId="0" xfId="0" applyFont="1"/>
    <xf numFmtId="0" fontId="0" fillId="14" borderId="1" xfId="0" applyFill="1" applyBorder="1" applyProtection="1">
      <protection locked="0"/>
    </xf>
    <xf numFmtId="4" fontId="0" fillId="0" borderId="1" xfId="0" applyNumberFormat="1" applyBorder="1" applyAlignment="1" applyProtection="1">
      <alignment wrapText="1"/>
      <protection hidden="1"/>
    </xf>
    <xf numFmtId="4" fontId="0" fillId="0" borderId="1" xfId="0" applyNumberFormat="1" applyBorder="1"/>
    <xf numFmtId="0" fontId="5" fillId="0" borderId="1" xfId="0" applyFont="1" applyBorder="1"/>
    <xf numFmtId="43" fontId="4" fillId="0" borderId="1" xfId="1" applyFont="1" applyFill="1" applyBorder="1" applyAlignment="1">
      <alignment vertical="center"/>
    </xf>
    <xf numFmtId="43" fontId="2" fillId="0" borderId="1" xfId="1" applyFont="1" applyFill="1" applyBorder="1" applyProtection="1">
      <protection hidden="1"/>
    </xf>
    <xf numFmtId="0" fontId="15" fillId="0" borderId="1" xfId="0" applyFont="1" applyBorder="1"/>
    <xf numFmtId="4" fontId="5" fillId="0" borderId="1" xfId="0" applyNumberFormat="1" applyFont="1" applyBorder="1" applyProtection="1">
      <protection hidden="1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9" fontId="4" fillId="0" borderId="0" xfId="0" applyNumberFormat="1" applyFont="1" applyProtection="1">
      <protection locked="0"/>
    </xf>
    <xf numFmtId="9" fontId="0" fillId="0" borderId="0" xfId="0" applyNumberFormat="1"/>
    <xf numFmtId="9" fontId="4" fillId="0" borderId="0" xfId="2" applyFont="1" applyAlignment="1" applyProtection="1">
      <protection locked="0"/>
    </xf>
    <xf numFmtId="0" fontId="17" fillId="5" borderId="0" xfId="0" applyFont="1" applyFill="1"/>
    <xf numFmtId="0" fontId="16" fillId="5" borderId="0" xfId="0" applyFont="1" applyFill="1"/>
    <xf numFmtId="0" fontId="1" fillId="5" borderId="0" xfId="0" applyFont="1" applyFill="1" applyAlignment="1">
      <alignment horizontal="center" wrapText="1"/>
    </xf>
    <xf numFmtId="0" fontId="5" fillId="16" borderId="0" xfId="0" applyFont="1" applyFill="1"/>
    <xf numFmtId="3" fontId="4" fillId="16" borderId="0" xfId="0" applyNumberFormat="1" applyFont="1" applyFill="1" applyAlignment="1" applyProtection="1">
      <alignment horizontal="center"/>
      <protection locked="0"/>
    </xf>
    <xf numFmtId="4" fontId="5" fillId="16" borderId="0" xfId="0" applyNumberFormat="1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 applyAlignment="1">
      <alignment horizontal="center" wrapText="1"/>
    </xf>
    <xf numFmtId="0" fontId="4" fillId="9" borderId="0" xfId="0" applyFont="1" applyFill="1"/>
    <xf numFmtId="9" fontId="4" fillId="9" borderId="0" xfId="2" applyFont="1" applyFill="1" applyAlignment="1" applyProtection="1">
      <alignment horizontal="center"/>
      <protection locked="0"/>
    </xf>
    <xf numFmtId="3" fontId="4" fillId="9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/>
    <xf numFmtId="4" fontId="0" fillId="2" borderId="0" xfId="0" applyNumberFormat="1" applyFill="1" applyProtection="1">
      <protection hidden="1"/>
    </xf>
    <xf numFmtId="4" fontId="0" fillId="9" borderId="0" xfId="0" applyNumberFormat="1" applyFill="1" applyProtection="1">
      <protection hidden="1"/>
    </xf>
    <xf numFmtId="4" fontId="15" fillId="4" borderId="0" xfId="0" applyNumberFormat="1" applyFont="1" applyFill="1" applyAlignment="1" applyProtection="1">
      <alignment horizontal="center"/>
      <protection hidden="1"/>
    </xf>
    <xf numFmtId="4" fontId="1" fillId="2" borderId="1" xfId="0" applyNumberFormat="1" applyFont="1" applyFill="1" applyBorder="1" applyProtection="1">
      <protection locked="0" hidden="1"/>
    </xf>
    <xf numFmtId="4" fontId="0" fillId="0" borderId="1" xfId="0" applyNumberFormat="1" applyBorder="1" applyProtection="1">
      <protection locked="0" hidden="1"/>
    </xf>
    <xf numFmtId="17" fontId="2" fillId="0" borderId="0" xfId="0" applyNumberFormat="1" applyFont="1" applyAlignment="1">
      <alignment horizontal="center"/>
    </xf>
    <xf numFmtId="3" fontId="0" fillId="0" borderId="28" xfId="0" applyNumberFormat="1" applyBorder="1"/>
    <xf numFmtId="0" fontId="16" fillId="0" borderId="0" xfId="0" applyFont="1"/>
    <xf numFmtId="3" fontId="16" fillId="0" borderId="28" xfId="0" applyNumberFormat="1" applyFont="1" applyBorder="1"/>
    <xf numFmtId="4" fontId="8" fillId="0" borderId="13" xfId="0" applyNumberFormat="1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9" fontId="8" fillId="0" borderId="31" xfId="0" applyNumberFormat="1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9" fontId="8" fillId="0" borderId="13" xfId="0" applyNumberFormat="1" applyFont="1" applyBorder="1" applyAlignment="1" applyProtection="1">
      <alignment horizontal="center" vertical="center" wrapText="1"/>
      <protection locked="0"/>
    </xf>
    <xf numFmtId="9" fontId="8" fillId="0" borderId="35" xfId="0" applyNumberFormat="1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1" fillId="5" borderId="0" xfId="0" applyFont="1" applyFill="1"/>
    <xf numFmtId="17" fontId="2" fillId="2" borderId="0" xfId="0" applyNumberFormat="1" applyFont="1" applyFill="1" applyAlignment="1">
      <alignment horizontal="center"/>
    </xf>
    <xf numFmtId="17" fontId="1" fillId="5" borderId="0" xfId="0" applyNumberFormat="1" applyFont="1" applyFill="1" applyAlignment="1">
      <alignment horizontal="center"/>
    </xf>
    <xf numFmtId="3" fontId="14" fillId="0" borderId="28" xfId="0" applyNumberFormat="1" applyFont="1" applyBorder="1"/>
    <xf numFmtId="0" fontId="1" fillId="0" borderId="1" xfId="0" applyFont="1" applyFill="1" applyBorder="1"/>
    <xf numFmtId="4" fontId="1" fillId="0" borderId="1" xfId="0" applyNumberFormat="1" applyFont="1" applyFill="1" applyBorder="1" applyProtection="1">
      <protection locked="0" hidden="1"/>
    </xf>
    <xf numFmtId="0" fontId="0" fillId="0" borderId="0" xfId="0" applyFill="1"/>
    <xf numFmtId="4" fontId="4" fillId="3" borderId="1" xfId="0" applyNumberFormat="1" applyFont="1" applyFill="1" applyBorder="1"/>
    <xf numFmtId="4" fontId="4" fillId="3" borderId="1" xfId="0" applyNumberFormat="1" applyFont="1" applyFill="1" applyBorder="1" applyProtection="1">
      <protection hidden="1"/>
    </xf>
    <xf numFmtId="4" fontId="0" fillId="0" borderId="0" xfId="0" applyNumberFormat="1" applyFont="1"/>
    <xf numFmtId="0" fontId="0" fillId="0" borderId="0" xfId="0" applyFont="1"/>
    <xf numFmtId="4" fontId="5" fillId="3" borderId="1" xfId="0" applyNumberFormat="1" applyFont="1" applyFill="1" applyBorder="1" applyProtection="1">
      <protection locked="0" hidden="1"/>
    </xf>
    <xf numFmtId="0" fontId="11" fillId="0" borderId="0" xfId="0" applyFont="1" applyAlignment="1">
      <alignment horizontal="right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Protection="1">
      <protection locked="0" hidden="1"/>
    </xf>
  </cellXfs>
  <cellStyles count="3">
    <cellStyle name="Millares" xfId="1" builtinId="3"/>
    <cellStyle name="Normal" xfId="0" builtinId="0"/>
    <cellStyle name="Porcentaje" xfId="2" builtinId="5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DBBB9"/>
      <color rgb="FF8E0000"/>
      <color rgb="FFC42308"/>
      <color rgb="FFD21E10"/>
      <color rgb="FFBC5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731520</xdr:colOff>
      <xdr:row>3</xdr:row>
      <xdr:rowOff>53340</xdr:rowOff>
    </xdr:to>
    <xdr:pic>
      <xdr:nvPicPr>
        <xdr:cNvPr id="3" name="Imagen 2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5:M96" totalsRowShown="0" headerRowDxfId="15" dataDxfId="14" tableBorderDxfId="13">
  <autoFilter ref="A95:M96"/>
  <tableColumns count="13">
    <tableColumn id="1" name="Columna1" dataDxfId="12"/>
    <tableColumn id="2" name="Columna2" dataDxfId="11">
      <calculatedColumnFormula>IF(($B$77-$B$80-$B$91)&gt;0,$B$77-$B$80-$B$91,0)</calculatedColumnFormula>
    </tableColumn>
    <tableColumn id="3" name="Columna3" dataDxfId="10">
      <calculatedColumnFormula>IF(($C$77-$C$80-$C$91)&gt;0,$C$77-$C$80-$C$91,0)</calculatedColumnFormula>
    </tableColumn>
    <tableColumn id="4" name="Columna4" dataDxfId="9">
      <calculatedColumnFormula>IF(($D$77-$D$80-$D$91)&gt;0,$D$77-$D$80-$D$91,0)</calculatedColumnFormula>
    </tableColumn>
    <tableColumn id="5" name="Columna5" dataDxfId="8">
      <calculatedColumnFormula>IF(($E$77-$E$80-$E$91)&gt;0,$E$77-$E$80-$E$91,0)</calculatedColumnFormula>
    </tableColumn>
    <tableColumn id="6" name="Columna6" dataDxfId="7">
      <calculatedColumnFormula>IF(($F$77-$F$80-$F$91)&gt;0,$F$77-$F$80-$F$91,0)</calculatedColumnFormula>
    </tableColumn>
    <tableColumn id="7" name="Columna7" dataDxfId="6">
      <calculatedColumnFormula>IF(($G$77-$G$80-$G$91)&gt;0,$G$77-$G$80-$G$91,0)</calculatedColumnFormula>
    </tableColumn>
    <tableColumn id="8" name="Columna8" dataDxfId="5">
      <calculatedColumnFormula>IF(($H$77-$H$80-$H$91)&gt;0,$H$77-$H$80-$H$91,0)</calculatedColumnFormula>
    </tableColumn>
    <tableColumn id="9" name="Columna9" dataDxfId="4">
      <calculatedColumnFormula>IF(($I$77-$I$80-$I$91)&gt;0,$I$77-$I$80-$I$91,0)</calculatedColumnFormula>
    </tableColumn>
    <tableColumn id="10" name="Columna10" dataDxfId="3">
      <calculatedColumnFormula>IF(($J$77-$J$80-$J$91)&gt;0,$J$77-$J$80-$J$91,0)</calculatedColumnFormula>
    </tableColumn>
    <tableColumn id="11" name="Columna11" dataDxfId="2">
      <calculatedColumnFormula>IF(($K$77-$K$80-$K$91)&gt;0,$K$77-$K$80-$K$91,0)</calculatedColumnFormula>
    </tableColumn>
    <tableColumn id="12" name="Columna12" dataDxfId="1">
      <calculatedColumnFormula>IF(($L$77-$L$80-$L$91)&gt;0,$L$77-$L$80-$L$91,0)</calculatedColumnFormula>
    </tableColumn>
    <tableColumn id="13" name="Columna13" dataDxfId="0">
      <calculatedColumnFormula>IF(($M$77-$M$80-$M$91)&gt;0,$M$77-$M$80-$M$91,0)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8"/>
  <sheetViews>
    <sheetView showGridLines="0" tabSelected="1" zoomScaleNormal="100" workbookViewId="0">
      <selection activeCell="B100" sqref="B100"/>
    </sheetView>
  </sheetViews>
  <sheetFormatPr baseColWidth="10" defaultColWidth="11.42578125" defaultRowHeight="15" x14ac:dyDescent="0.25"/>
  <cols>
    <col min="1" max="1" width="50.42578125" customWidth="1"/>
    <col min="2" max="2" width="14" customWidth="1"/>
    <col min="3" max="4" width="12.7109375" customWidth="1"/>
    <col min="5" max="5" width="15" customWidth="1"/>
    <col min="6" max="9" width="12.7109375" customWidth="1"/>
    <col min="10" max="12" width="13" customWidth="1"/>
    <col min="13" max="13" width="14.85546875" customWidth="1"/>
    <col min="15" max="15" width="27" bestFit="1" customWidth="1"/>
  </cols>
  <sheetData>
    <row r="1" spans="1:19" x14ac:dyDescent="0.25">
      <c r="E1" s="38"/>
      <c r="F1" s="38"/>
      <c r="G1" s="38"/>
      <c r="H1" s="38"/>
      <c r="I1" s="127"/>
    </row>
    <row r="2" spans="1:19" x14ac:dyDescent="0.25">
      <c r="F2" s="138" t="s">
        <v>158</v>
      </c>
      <c r="G2" s="138"/>
      <c r="H2" s="138"/>
      <c r="I2" s="138"/>
      <c r="J2" s="140"/>
    </row>
    <row r="3" spans="1:19" x14ac:dyDescent="0.25">
      <c r="E3" s="38"/>
      <c r="F3" s="139" t="s">
        <v>157</v>
      </c>
      <c r="G3" s="139"/>
      <c r="H3" s="139"/>
      <c r="I3" s="139"/>
      <c r="J3" s="141">
        <v>45047</v>
      </c>
    </row>
    <row r="4" spans="1:19" ht="15.75" x14ac:dyDescent="0.25">
      <c r="A4" s="14" t="s">
        <v>163</v>
      </c>
      <c r="E4" s="3"/>
      <c r="K4" s="151" t="s">
        <v>156</v>
      </c>
      <c r="L4" s="151"/>
      <c r="M4" s="151"/>
    </row>
    <row r="5" spans="1:19" x14ac:dyDescent="0.25">
      <c r="A5" s="3"/>
      <c r="B5" s="3" t="s">
        <v>135</v>
      </c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P5" s="4"/>
      <c r="Q5" s="4"/>
      <c r="R5" s="4"/>
      <c r="S5" s="4"/>
    </row>
    <row r="6" spans="1:19" s="7" customFormat="1" x14ac:dyDescent="0.25">
      <c r="A6" s="37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5"/>
      <c r="O6" s="6"/>
      <c r="P6" s="5"/>
      <c r="Q6" s="5"/>
      <c r="R6" s="5"/>
      <c r="S6" s="5"/>
    </row>
    <row r="7" spans="1:19" s="7" customFormat="1" ht="15.75" customHeight="1" x14ac:dyDescent="0.25">
      <c r="A7" s="8" t="s">
        <v>13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5"/>
      <c r="P7" s="5"/>
      <c r="Q7" s="5"/>
      <c r="R7" s="5"/>
      <c r="S7" s="5"/>
    </row>
    <row r="8" spans="1:19" s="7" customFormat="1" x14ac:dyDescent="0.25">
      <c r="A8" s="8" t="s">
        <v>14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5"/>
      <c r="P8" s="5"/>
      <c r="Q8" s="5"/>
      <c r="R8" s="5"/>
      <c r="S8" s="5"/>
    </row>
    <row r="9" spans="1:19" s="7" customFormat="1" x14ac:dyDescent="0.25">
      <c r="A9" s="8" t="s">
        <v>15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5"/>
      <c r="P9" s="5"/>
      <c r="Q9" s="5"/>
      <c r="R9" s="5"/>
      <c r="S9" s="5"/>
    </row>
    <row r="10" spans="1:19" s="7" customFormat="1" ht="15" customHeight="1" x14ac:dyDescent="0.25">
      <c r="A10" s="40" t="s">
        <v>16</v>
      </c>
      <c r="B10" s="86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5"/>
      <c r="P10" s="5"/>
      <c r="Q10" s="5"/>
      <c r="R10" s="5"/>
      <c r="S10" s="5"/>
    </row>
    <row r="11" spans="1:19" s="7" customFormat="1" x14ac:dyDescent="0.25">
      <c r="A11" s="8" t="s">
        <v>17</v>
      </c>
      <c r="B11" s="87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5"/>
      <c r="P11" s="5"/>
      <c r="Q11" s="5"/>
      <c r="R11" s="5"/>
      <c r="S11" s="5"/>
    </row>
    <row r="12" spans="1:19" s="7" customFormat="1" x14ac:dyDescent="0.25">
      <c r="A12" s="27" t="s">
        <v>18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5"/>
      <c r="P12" s="5"/>
      <c r="Q12" s="5"/>
      <c r="R12" s="5"/>
      <c r="S12" s="5"/>
    </row>
    <row r="13" spans="1:19" s="7" customFormat="1" x14ac:dyDescent="0.25">
      <c r="A13" s="20" t="s">
        <v>127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5"/>
      <c r="P13" s="5"/>
      <c r="Q13" s="5"/>
      <c r="R13" s="5"/>
      <c r="S13" s="5"/>
    </row>
    <row r="14" spans="1:19" s="7" customFormat="1" x14ac:dyDescent="0.25">
      <c r="A14" s="27" t="s">
        <v>113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5"/>
      <c r="P14" s="5"/>
      <c r="Q14" s="5"/>
      <c r="R14" s="5"/>
      <c r="S14" s="5"/>
    </row>
    <row r="15" spans="1:19" s="7" customFormat="1" x14ac:dyDescent="0.25">
      <c r="A15" s="27" t="s">
        <v>19</v>
      </c>
      <c r="B15" s="88"/>
      <c r="C15" s="88"/>
      <c r="D15" s="88"/>
      <c r="E15" s="88"/>
      <c r="F15" s="88"/>
      <c r="G15" s="86">
        <f>+G7/2</f>
        <v>0</v>
      </c>
      <c r="H15" s="88"/>
      <c r="I15" s="88"/>
      <c r="J15" s="88"/>
      <c r="K15" s="88"/>
      <c r="L15" s="88"/>
      <c r="M15" s="86">
        <f>+M7/2</f>
        <v>0</v>
      </c>
      <c r="N15" s="5"/>
      <c r="O15" s="9"/>
      <c r="P15" s="5"/>
      <c r="Q15" s="5"/>
      <c r="R15" s="5"/>
      <c r="S15" s="5"/>
    </row>
    <row r="16" spans="1:19" s="7" customFormat="1" x14ac:dyDescent="0.25">
      <c r="A16" s="10" t="s">
        <v>20</v>
      </c>
      <c r="B16" s="63">
        <f>SUM(B7:B15)</f>
        <v>0</v>
      </c>
      <c r="C16" s="63">
        <f t="shared" ref="C16:M16" si="0">SUM(C7:C15)</f>
        <v>0</v>
      </c>
      <c r="D16" s="63">
        <f t="shared" si="0"/>
        <v>0</v>
      </c>
      <c r="E16" s="63">
        <f t="shared" si="0"/>
        <v>0</v>
      </c>
      <c r="F16" s="63">
        <f t="shared" si="0"/>
        <v>0</v>
      </c>
      <c r="G16" s="63">
        <f t="shared" si="0"/>
        <v>0</v>
      </c>
      <c r="H16" s="63">
        <f t="shared" si="0"/>
        <v>0</v>
      </c>
      <c r="I16" s="63">
        <f t="shared" si="0"/>
        <v>0</v>
      </c>
      <c r="J16" s="63">
        <f t="shared" si="0"/>
        <v>0</v>
      </c>
      <c r="K16" s="63">
        <f t="shared" si="0"/>
        <v>0</v>
      </c>
      <c r="L16" s="63">
        <f t="shared" si="0"/>
        <v>0</v>
      </c>
      <c r="M16" s="63">
        <f t="shared" si="0"/>
        <v>0</v>
      </c>
      <c r="N16" s="5"/>
      <c r="P16" s="5"/>
      <c r="Q16" s="5"/>
      <c r="R16" s="5"/>
      <c r="S16" s="5"/>
    </row>
    <row r="17" spans="1:20" s="7" customFormat="1" x14ac:dyDescent="0.25">
      <c r="A17" s="20" t="s">
        <v>21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5"/>
      <c r="P17" s="5"/>
      <c r="Q17" s="5"/>
      <c r="R17" s="5"/>
      <c r="S17" s="5"/>
    </row>
    <row r="18" spans="1:20" s="7" customFormat="1" x14ac:dyDescent="0.25">
      <c r="A18" s="20" t="s">
        <v>22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5"/>
      <c r="P18" s="5"/>
      <c r="Q18" s="5"/>
      <c r="R18" s="5"/>
      <c r="S18" s="5"/>
    </row>
    <row r="19" spans="1:20" s="7" customFormat="1" x14ac:dyDescent="0.25">
      <c r="A19" s="11" t="s">
        <v>23</v>
      </c>
      <c r="B19" s="64">
        <f>SUM(B17:B18)</f>
        <v>0</v>
      </c>
      <c r="C19" s="64">
        <f t="shared" ref="C19:M19" si="1">SUM(C17:C18)</f>
        <v>0</v>
      </c>
      <c r="D19" s="64">
        <f t="shared" si="1"/>
        <v>0</v>
      </c>
      <c r="E19" s="64">
        <f t="shared" si="1"/>
        <v>0</v>
      </c>
      <c r="F19" s="64">
        <f t="shared" si="1"/>
        <v>0</v>
      </c>
      <c r="G19" s="64">
        <f t="shared" si="1"/>
        <v>0</v>
      </c>
      <c r="H19" s="64">
        <f t="shared" si="1"/>
        <v>0</v>
      </c>
      <c r="I19" s="64">
        <f t="shared" si="1"/>
        <v>0</v>
      </c>
      <c r="J19" s="64">
        <f t="shared" si="1"/>
        <v>0</v>
      </c>
      <c r="K19" s="64">
        <f t="shared" si="1"/>
        <v>0</v>
      </c>
      <c r="L19" s="64">
        <f t="shared" si="1"/>
        <v>0</v>
      </c>
      <c r="M19" s="64">
        <f t="shared" si="1"/>
        <v>0</v>
      </c>
      <c r="N19" s="5"/>
      <c r="P19" s="5"/>
      <c r="Q19" s="5"/>
      <c r="R19" s="5"/>
      <c r="S19" s="5"/>
    </row>
    <row r="20" spans="1:20" x14ac:dyDescent="0.25">
      <c r="A20" s="8" t="s">
        <v>24</v>
      </c>
      <c r="B20" s="126">
        <f>IF($B$16&gt;548651.9,(548651.9*$C$164),$B$16*+$C$164)</f>
        <v>0</v>
      </c>
      <c r="C20" s="126">
        <f>IF($C$16&gt;548651.9,(548651.9*$C$164),$C$16*$C$164)</f>
        <v>0</v>
      </c>
      <c r="D20" s="126">
        <f>IF($D$16&gt;642142.18,(642142.18*$C$164),$D$16*$C$164)</f>
        <v>0</v>
      </c>
      <c r="E20" s="126">
        <f>IF($E$16&gt;642142.18,(642142.18*$C$164),$E$16*$C$164)</f>
        <v>0</v>
      </c>
      <c r="F20" s="126">
        <f>IF($F$16&gt;642142.18,(642142.18*$C$164),$F$16*$C$164)</f>
        <v>0</v>
      </c>
      <c r="G20" s="126">
        <f>IF($G$16&gt;963213.27,(963213.27*$C$164),$G$16*$C$164)</f>
        <v>0</v>
      </c>
      <c r="H20" s="126">
        <f>IF($H$16&gt;642142.18,(642142.18*$C$164),$H$16*$C$164)</f>
        <v>0</v>
      </c>
      <c r="I20" s="126">
        <f>IF($I$16&gt;642142.18,(642142.18*$C$164),$I$16*$C$164)</f>
        <v>0</v>
      </c>
      <c r="J20" s="126">
        <f>IF($J$16&gt;642142.18,(642142.18*$C$164),$J$16*$C$164)</f>
        <v>0</v>
      </c>
      <c r="K20" s="126">
        <f>IF($K$16&gt;642142.18,(642142.18*$C$164),$K$16*$C$164)</f>
        <v>0</v>
      </c>
      <c r="L20" s="126">
        <f>IF($L$16&gt;642142.18,(642142.18*$C$164),$L$16*$C$164)</f>
        <v>0</v>
      </c>
      <c r="M20" s="126">
        <f>IF($M$16&gt;963213.27,(963213.27*$C$164),$M$16*$C$164)</f>
        <v>0</v>
      </c>
      <c r="N20" s="4"/>
      <c r="O20" s="4"/>
      <c r="P20" s="4"/>
      <c r="Q20" s="4"/>
      <c r="R20" s="4"/>
      <c r="S20" s="4"/>
    </row>
    <row r="21" spans="1:20" x14ac:dyDescent="0.25">
      <c r="A21" s="8" t="s">
        <v>25</v>
      </c>
      <c r="B21" s="126">
        <f>IF($B$16&gt;548651.9,(548651.9*$C$165),$B$16*$C$165)</f>
        <v>0</v>
      </c>
      <c r="C21" s="126">
        <f>IF($C$16&gt;548651.9,(548651.9*$C$165),$C$16*$C$165)</f>
        <v>0</v>
      </c>
      <c r="D21" s="126">
        <f>IF($D$16&gt;642142.18,(642142.18*$C$165),$D$16*$C$165)</f>
        <v>0</v>
      </c>
      <c r="E21" s="126">
        <f>IF($E$16&gt;642142.18,(642142.18*$C$165),$E$16*$C$165)</f>
        <v>0</v>
      </c>
      <c r="F21" s="126">
        <f>IF($F$16&gt;642142.18,(642142.18*$C$165),$F$16*$C$165)</f>
        <v>0</v>
      </c>
      <c r="G21" s="126">
        <f>IF($G$16&gt;963213.27,(963213.27*$C$165),$G$16*$C$165)</f>
        <v>0</v>
      </c>
      <c r="H21" s="126">
        <f>IF($H$16&gt;642142.18,(642142.18*$C$165),$H$16*$C$165)</f>
        <v>0</v>
      </c>
      <c r="I21" s="126">
        <f>IF($I$16&gt;642142.18,(642142.18*$C$165),$I$16*$C$165)</f>
        <v>0</v>
      </c>
      <c r="J21" s="126">
        <f>IF($J$16&gt;642142.18,(642142.18*$C$165),$J$16*$C$165)</f>
        <v>0</v>
      </c>
      <c r="K21" s="126">
        <f>IF($K$16&gt;642142.18,(642142.18*$C$165),$K$16*$C$165)</f>
        <v>0</v>
      </c>
      <c r="L21" s="126">
        <f>IF($L$16&gt;642142.18,(642142.18*$C$165),$L$16*$C$165)</f>
        <v>0</v>
      </c>
      <c r="M21" s="126">
        <f>IF($M$16&gt;963213.27,(963213.27*$C$165),$M$16*$C$165)</f>
        <v>0</v>
      </c>
      <c r="N21" s="4"/>
      <c r="O21" s="4"/>
      <c r="P21" s="4"/>
      <c r="Q21" s="4"/>
      <c r="R21" s="4"/>
      <c r="S21" s="4"/>
    </row>
    <row r="22" spans="1:20" x14ac:dyDescent="0.25">
      <c r="A22" s="8" t="s">
        <v>26</v>
      </c>
      <c r="B22" s="126">
        <f>IF($B$16&gt;548651.9,(548651.9*$C$166),$B$16*$C$166)</f>
        <v>0</v>
      </c>
      <c r="C22" s="126">
        <f>IF($C$16&gt;548651.9,(548651.9*$C$166),$C$16*$C$166)</f>
        <v>0</v>
      </c>
      <c r="D22" s="126">
        <f>IF($D$16&gt;642142.18,(642142.18*$C$166),$D$16*$C$166)</f>
        <v>0</v>
      </c>
      <c r="E22" s="126">
        <f>IF($E$16&gt;642142.18,(642142.18*$C$166),$E$16*$C$166)</f>
        <v>0</v>
      </c>
      <c r="F22" s="126">
        <f>IF($F$16&gt;642142.18,(642142.18*$C$166),$F$16*$C$166)</f>
        <v>0</v>
      </c>
      <c r="G22" s="126">
        <f>IF($G$16&gt;963213.27,(963213.27*$C$166),$G$16*$C$166)</f>
        <v>0</v>
      </c>
      <c r="H22" s="126">
        <f>IF($H$16&gt;642142.18,(642142.18*$C$166),$H$16*$C$166)</f>
        <v>0</v>
      </c>
      <c r="I22" s="126">
        <f>IF($I$16&gt;642142.18,(642142.18*$C$166),$I$16*$C$166)</f>
        <v>0</v>
      </c>
      <c r="J22" s="126">
        <f>IF($J$16&gt;642142.18,(642142.18*$C$166),$J$16*$C$166)</f>
        <v>0</v>
      </c>
      <c r="K22" s="126">
        <f>IF($K$16&gt;642142.18,(642142.18*$C$166),$K$16*$C$166)</f>
        <v>0</v>
      </c>
      <c r="L22" s="126">
        <f>IF($L$16&gt;642142.18,(642142.18*$C$166),$L$16*$C$166)</f>
        <v>0</v>
      </c>
      <c r="M22" s="126">
        <f>IF($M$16&gt;963213.27,(963213.27*$C$166),$M$16*$C$166)</f>
        <v>0</v>
      </c>
      <c r="N22" s="4"/>
      <c r="O22" s="4"/>
      <c r="P22" s="4"/>
      <c r="Q22" s="4"/>
      <c r="R22" s="4"/>
      <c r="S22" s="4"/>
    </row>
    <row r="23" spans="1:20" x14ac:dyDescent="0.25">
      <c r="A23" s="8" t="s">
        <v>27</v>
      </c>
      <c r="B23" s="85">
        <v>0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4"/>
      <c r="O23" s="4"/>
      <c r="P23" s="4"/>
      <c r="Q23" s="4"/>
      <c r="R23" s="4"/>
      <c r="S23" s="4"/>
    </row>
    <row r="24" spans="1:20" x14ac:dyDescent="0.25">
      <c r="A24" s="11" t="s">
        <v>28</v>
      </c>
      <c r="B24" s="64">
        <f>SUM(B20:B23)</f>
        <v>0</v>
      </c>
      <c r="C24" s="64">
        <f t="shared" ref="C24:M24" si="2">SUM(C20:C23)</f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4"/>
      <c r="O24" s="4"/>
      <c r="P24" s="4"/>
      <c r="Q24" s="4"/>
      <c r="R24" s="4"/>
      <c r="S24" s="4"/>
    </row>
    <row r="25" spans="1:20" x14ac:dyDescent="0.25">
      <c r="A25" s="13"/>
      <c r="B25" s="65"/>
      <c r="C25" s="66"/>
      <c r="D25" s="66"/>
      <c r="E25" s="66"/>
      <c r="F25" s="66"/>
      <c r="G25" s="124"/>
      <c r="H25" s="66"/>
      <c r="I25" s="66"/>
      <c r="J25" s="66"/>
      <c r="K25" s="66"/>
      <c r="L25" s="66"/>
      <c r="M25" s="66"/>
      <c r="N25" s="4"/>
      <c r="O25" s="4"/>
      <c r="P25" s="4"/>
      <c r="Q25" s="4"/>
      <c r="R25" s="4"/>
      <c r="S25" s="4"/>
    </row>
    <row r="26" spans="1:20" x14ac:dyDescent="0.25">
      <c r="A26" s="26" t="s">
        <v>29</v>
      </c>
      <c r="B26" s="67">
        <f>B16+B19-B24</f>
        <v>0</v>
      </c>
      <c r="C26" s="67">
        <f t="shared" ref="C26:M26" si="3">C16+C19-C24</f>
        <v>0</v>
      </c>
      <c r="D26" s="67">
        <f t="shared" si="3"/>
        <v>0</v>
      </c>
      <c r="E26" s="67">
        <f t="shared" si="3"/>
        <v>0</v>
      </c>
      <c r="F26" s="67">
        <f t="shared" si="3"/>
        <v>0</v>
      </c>
      <c r="G26" s="67">
        <f t="shared" si="3"/>
        <v>0</v>
      </c>
      <c r="H26" s="67">
        <f t="shared" si="3"/>
        <v>0</v>
      </c>
      <c r="I26" s="67">
        <f t="shared" si="3"/>
        <v>0</v>
      </c>
      <c r="J26" s="67">
        <f t="shared" si="3"/>
        <v>0</v>
      </c>
      <c r="K26" s="67">
        <f t="shared" si="3"/>
        <v>0</v>
      </c>
      <c r="L26" s="67">
        <f t="shared" si="3"/>
        <v>0</v>
      </c>
      <c r="M26" s="67">
        <f t="shared" si="3"/>
        <v>0</v>
      </c>
      <c r="N26" s="4"/>
      <c r="O26" s="4"/>
      <c r="P26" s="4"/>
      <c r="Q26" s="4"/>
      <c r="R26" s="4"/>
      <c r="S26" s="4"/>
    </row>
    <row r="27" spans="1:20" x14ac:dyDescent="0.25">
      <c r="A27" s="19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4"/>
      <c r="O27" s="4"/>
      <c r="P27" s="4"/>
      <c r="Q27" s="4"/>
      <c r="R27" s="4"/>
      <c r="S27" s="4"/>
    </row>
    <row r="28" spans="1:20" ht="15.75" x14ac:dyDescent="0.25">
      <c r="A28" s="14" t="s">
        <v>164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4"/>
      <c r="O28" s="4"/>
      <c r="P28" s="4"/>
      <c r="Q28" s="4"/>
      <c r="R28" s="4"/>
      <c r="S28" s="4"/>
    </row>
    <row r="29" spans="1:20" ht="15.75" x14ac:dyDescent="0.25">
      <c r="A29" s="14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32"/>
      <c r="O29" s="4"/>
      <c r="P29" s="4"/>
      <c r="Q29" s="4"/>
      <c r="R29" s="4"/>
      <c r="S29" s="4"/>
    </row>
    <row r="30" spans="1:20" x14ac:dyDescent="0.25">
      <c r="A30" s="24" t="s">
        <v>30</v>
      </c>
      <c r="B30" s="69" t="s">
        <v>1</v>
      </c>
      <c r="C30" s="69" t="s">
        <v>2</v>
      </c>
      <c r="D30" s="69" t="s">
        <v>3</v>
      </c>
      <c r="E30" s="69" t="s">
        <v>4</v>
      </c>
      <c r="F30" s="69" t="s">
        <v>5</v>
      </c>
      <c r="G30" s="69" t="s">
        <v>6</v>
      </c>
      <c r="H30" s="69" t="s">
        <v>7</v>
      </c>
      <c r="I30" s="69" t="s">
        <v>8</v>
      </c>
      <c r="J30" s="69" t="s">
        <v>9</v>
      </c>
      <c r="K30" s="69" t="s">
        <v>10</v>
      </c>
      <c r="L30" s="69" t="s">
        <v>11</v>
      </c>
      <c r="M30" s="69" t="s">
        <v>12</v>
      </c>
      <c r="N30" s="32"/>
      <c r="O30" s="4"/>
      <c r="P30" s="4"/>
      <c r="Q30" s="4"/>
      <c r="R30" s="4"/>
      <c r="S30" s="4"/>
    </row>
    <row r="31" spans="1:20" x14ac:dyDescent="0.25">
      <c r="A31" s="8" t="s">
        <v>129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4"/>
      <c r="O31" s="4"/>
      <c r="P31" s="4"/>
      <c r="Q31" s="4"/>
      <c r="R31" s="4"/>
      <c r="S31" s="4"/>
      <c r="T31" s="4"/>
    </row>
    <row r="32" spans="1:20" x14ac:dyDescent="0.25">
      <c r="A32" s="8" t="s">
        <v>15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4"/>
      <c r="O32" s="4"/>
      <c r="P32" s="4"/>
      <c r="Q32" s="4"/>
      <c r="R32" s="4"/>
      <c r="S32" s="4"/>
      <c r="T32" s="4"/>
    </row>
    <row r="33" spans="1:20" x14ac:dyDescent="0.25">
      <c r="A33" s="41" t="s">
        <v>31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32"/>
      <c r="O33" s="4"/>
      <c r="P33" s="4"/>
      <c r="Q33" s="4"/>
      <c r="R33" s="4"/>
      <c r="S33" s="4"/>
      <c r="T33" s="4"/>
    </row>
    <row r="34" spans="1:20" x14ac:dyDescent="0.25">
      <c r="A34" s="20" t="s">
        <v>127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32"/>
      <c r="O34" s="4"/>
      <c r="P34" s="4"/>
      <c r="Q34" s="4"/>
      <c r="R34" s="4"/>
      <c r="S34" s="4"/>
      <c r="T34" s="4"/>
    </row>
    <row r="35" spans="1:20" x14ac:dyDescent="0.25">
      <c r="A35" s="41" t="s">
        <v>32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32"/>
      <c r="O35" s="4"/>
      <c r="P35" s="4"/>
      <c r="Q35" s="4"/>
      <c r="R35" s="4"/>
      <c r="S35" s="4"/>
      <c r="T35" s="4"/>
    </row>
    <row r="36" spans="1:20" x14ac:dyDescent="0.25">
      <c r="A36" s="8" t="s">
        <v>33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4"/>
      <c r="O36" s="4"/>
      <c r="P36" s="4"/>
      <c r="Q36" s="4"/>
      <c r="R36" s="4"/>
      <c r="S36" s="4"/>
    </row>
    <row r="37" spans="1:20" x14ac:dyDescent="0.25">
      <c r="A37" s="8" t="s">
        <v>34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4"/>
      <c r="O37" s="4"/>
      <c r="P37" s="4"/>
      <c r="Q37" s="4"/>
      <c r="R37" s="4"/>
      <c r="S37" s="4"/>
    </row>
    <row r="38" spans="1:20" ht="15.75" x14ac:dyDescent="0.25">
      <c r="A38" s="22" t="s">
        <v>19</v>
      </c>
      <c r="B38" s="97"/>
      <c r="C38" s="88"/>
      <c r="D38" s="88"/>
      <c r="E38" s="88"/>
      <c r="F38" s="88"/>
      <c r="G38" s="86"/>
      <c r="H38" s="88"/>
      <c r="I38" s="88"/>
      <c r="J38" s="88"/>
      <c r="K38" s="88"/>
      <c r="L38" s="88"/>
      <c r="M38" s="86"/>
      <c r="N38" s="4"/>
      <c r="O38" s="4"/>
      <c r="P38" s="4"/>
      <c r="Q38" s="4"/>
      <c r="R38" s="4"/>
      <c r="S38" s="4"/>
    </row>
    <row r="39" spans="1:20" ht="15.75" x14ac:dyDescent="0.25">
      <c r="A39" s="22" t="s">
        <v>35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4"/>
      <c r="O39" s="4"/>
      <c r="P39" s="4"/>
      <c r="Q39" s="4"/>
      <c r="R39" s="4"/>
      <c r="S39" s="4"/>
    </row>
    <row r="40" spans="1:20" x14ac:dyDescent="0.25">
      <c r="A40" s="3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4"/>
      <c r="O40" s="4"/>
      <c r="P40" s="4"/>
      <c r="Q40" s="4"/>
      <c r="R40" s="4"/>
      <c r="S40" s="4"/>
    </row>
    <row r="41" spans="1:20" x14ac:dyDescent="0.25">
      <c r="A41" s="15" t="s">
        <v>36</v>
      </c>
      <c r="B41" s="71">
        <f>B16+B19+B31+B33+B35+B36+B37-B15+B34+B32</f>
        <v>0</v>
      </c>
      <c r="C41" s="71">
        <f>C16+C19+C31+C33+C35+C36+C37-C15+C34+C32</f>
        <v>0</v>
      </c>
      <c r="D41" s="71">
        <f t="shared" ref="D41:M41" si="4">D16+D19+D31+D33+D35+D36+D37-D15+D34+D32</f>
        <v>0</v>
      </c>
      <c r="E41" s="71">
        <f t="shared" si="4"/>
        <v>0</v>
      </c>
      <c r="F41" s="71">
        <f t="shared" si="4"/>
        <v>0</v>
      </c>
      <c r="G41" s="71">
        <f t="shared" si="4"/>
        <v>0</v>
      </c>
      <c r="H41" s="71">
        <f t="shared" si="4"/>
        <v>0</v>
      </c>
      <c r="I41" s="71">
        <f t="shared" si="4"/>
        <v>0</v>
      </c>
      <c r="J41" s="71">
        <f t="shared" si="4"/>
        <v>0</v>
      </c>
      <c r="K41" s="71">
        <f t="shared" si="4"/>
        <v>0</v>
      </c>
      <c r="L41" s="71">
        <f t="shared" si="4"/>
        <v>0</v>
      </c>
      <c r="M41" s="71">
        <f t="shared" si="4"/>
        <v>0</v>
      </c>
      <c r="N41" s="4"/>
      <c r="O41" s="4"/>
      <c r="P41" s="4"/>
      <c r="Q41" s="4"/>
      <c r="R41" s="4"/>
      <c r="S41" s="4"/>
    </row>
    <row r="42" spans="1:20" x14ac:dyDescent="0.25">
      <c r="A42" s="26" t="s">
        <v>159</v>
      </c>
      <c r="B42" s="67">
        <f>AVERAGE($B$41)</f>
        <v>0</v>
      </c>
      <c r="C42" s="67">
        <f>AVERAGE($B$41:$C$41)</f>
        <v>0</v>
      </c>
      <c r="D42" s="67">
        <f>AVERAGE($B$41:$D$41)</f>
        <v>0</v>
      </c>
      <c r="E42" s="67">
        <f>AVERAGE($B$41:$E$41)</f>
        <v>0</v>
      </c>
      <c r="F42" s="67">
        <f>AVERAGE($B$41:$F$41)</f>
        <v>0</v>
      </c>
      <c r="G42" s="67">
        <f>AVERAGE($B$41:$G$41)</f>
        <v>0</v>
      </c>
      <c r="H42" s="67">
        <f>AVERAGE($B$41:$H$41)</f>
        <v>0</v>
      </c>
      <c r="I42" s="67">
        <f>AVERAGE($B$41:$I$41)</f>
        <v>0</v>
      </c>
      <c r="J42" s="67">
        <f>AVERAGE($B$41:$J$41)</f>
        <v>0</v>
      </c>
      <c r="K42" s="67">
        <f>AVERAGE($B$41:$K$41)</f>
        <v>0</v>
      </c>
      <c r="L42" s="67">
        <f>AVERAGE($B$41:$L$41)</f>
        <v>0</v>
      </c>
      <c r="M42" s="67">
        <f>AVERAGE($B$41:$M$41)</f>
        <v>0</v>
      </c>
      <c r="N42" s="4"/>
      <c r="O42" s="4"/>
      <c r="P42" s="4"/>
      <c r="Q42" s="4"/>
      <c r="R42" s="4"/>
      <c r="S42" s="4"/>
    </row>
    <row r="43" spans="1:20" x14ac:dyDescent="0.25">
      <c r="A43" s="26" t="s">
        <v>160</v>
      </c>
      <c r="B43" s="67">
        <f>AVERAGE($B$41)</f>
        <v>0</v>
      </c>
      <c r="C43" s="67">
        <f>AVERAGE($B$41:$C$41)</f>
        <v>0</v>
      </c>
      <c r="D43" s="67">
        <f>AVERAGE($B$41:$D$41)</f>
        <v>0</v>
      </c>
      <c r="E43" s="67">
        <f>AVERAGE($B$41:$E$41)</f>
        <v>0</v>
      </c>
      <c r="F43" s="67">
        <f>AVERAGE($F$41)</f>
        <v>0</v>
      </c>
      <c r="G43" s="67">
        <f>AVERAGE($F$41:$G$41)</f>
        <v>0</v>
      </c>
      <c r="H43" s="67">
        <f>AVERAGE($F$41:$H$41)</f>
        <v>0</v>
      </c>
      <c r="I43" s="67">
        <f>AVERAGE($F$41:$I$41)</f>
        <v>0</v>
      </c>
      <c r="J43" s="67">
        <f>AVERAGE($F$41:$J$41)</f>
        <v>0</v>
      </c>
      <c r="K43" s="67">
        <f>AVERAGE($F$41:$K$41)</f>
        <v>0</v>
      </c>
      <c r="L43" s="67">
        <f>AVERAGE($F$41:$L$41)</f>
        <v>0</v>
      </c>
      <c r="M43" s="67">
        <f>AVERAGE($F$41:$M$41)</f>
        <v>0</v>
      </c>
      <c r="N43" s="4"/>
      <c r="O43" s="4"/>
      <c r="P43" s="4"/>
      <c r="Q43" s="4"/>
      <c r="R43" s="4"/>
      <c r="S43" s="4"/>
    </row>
    <row r="44" spans="1:20" x14ac:dyDescent="0.25">
      <c r="A44" s="23" t="s">
        <v>155</v>
      </c>
      <c r="B44" s="72">
        <f t="shared" ref="B44:M44" si="5">MIN(B41,B43)</f>
        <v>0</v>
      </c>
      <c r="C44" s="72">
        <f t="shared" si="5"/>
        <v>0</v>
      </c>
      <c r="D44" s="72">
        <f t="shared" si="5"/>
        <v>0</v>
      </c>
      <c r="E44" s="72">
        <f t="shared" si="5"/>
        <v>0</v>
      </c>
      <c r="F44" s="72">
        <f t="shared" si="5"/>
        <v>0</v>
      </c>
      <c r="G44" s="72">
        <f t="shared" si="5"/>
        <v>0</v>
      </c>
      <c r="H44" s="72">
        <f t="shared" si="5"/>
        <v>0</v>
      </c>
      <c r="I44" s="72">
        <f t="shared" si="5"/>
        <v>0</v>
      </c>
      <c r="J44" s="72">
        <f t="shared" si="5"/>
        <v>0</v>
      </c>
      <c r="K44" s="72">
        <f t="shared" si="5"/>
        <v>0</v>
      </c>
      <c r="L44" s="72">
        <f t="shared" si="5"/>
        <v>0</v>
      </c>
      <c r="M44" s="72">
        <f t="shared" si="5"/>
        <v>0</v>
      </c>
      <c r="N44" s="4"/>
      <c r="O44" s="4"/>
      <c r="P44" s="4"/>
      <c r="Q44" s="4"/>
      <c r="R44" s="4"/>
      <c r="S44" s="4"/>
    </row>
    <row r="45" spans="1:20" s="7" customFormat="1" ht="18.75" customHeight="1" x14ac:dyDescent="0.25">
      <c r="A45" s="50" t="s">
        <v>37</v>
      </c>
      <c r="B45" s="69" t="s">
        <v>1</v>
      </c>
      <c r="C45" s="69" t="s">
        <v>2</v>
      </c>
      <c r="D45" s="69" t="s">
        <v>3</v>
      </c>
      <c r="E45" s="69" t="s">
        <v>4</v>
      </c>
      <c r="F45" s="69" t="s">
        <v>5</v>
      </c>
      <c r="G45" s="69" t="s">
        <v>6</v>
      </c>
      <c r="H45" s="69" t="s">
        <v>7</v>
      </c>
      <c r="I45" s="69" t="s">
        <v>8</v>
      </c>
      <c r="J45" s="69" t="s">
        <v>9</v>
      </c>
      <c r="K45" s="69" t="s">
        <v>10</v>
      </c>
      <c r="L45" s="69" t="s">
        <v>11</v>
      </c>
      <c r="M45" s="69" t="s">
        <v>12</v>
      </c>
      <c r="N45" s="5"/>
      <c r="O45" s="6"/>
      <c r="P45" s="5"/>
      <c r="Q45" s="5"/>
      <c r="R45" s="5"/>
      <c r="S45" s="5"/>
    </row>
    <row r="46" spans="1:20" x14ac:dyDescent="0.25">
      <c r="A46" s="46" t="s">
        <v>38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4"/>
      <c r="O46" s="7"/>
      <c r="P46" s="12"/>
      <c r="Q46" s="4"/>
      <c r="R46" s="4"/>
      <c r="S46" s="4"/>
    </row>
    <row r="47" spans="1:20" x14ac:dyDescent="0.25">
      <c r="A47" s="8" t="s">
        <v>39</v>
      </c>
      <c r="B47" s="60">
        <f t="shared" ref="B47:M47" si="6">B7+B8+B9+B11+B12</f>
        <v>0</v>
      </c>
      <c r="C47" s="60">
        <f t="shared" si="6"/>
        <v>0</v>
      </c>
      <c r="D47" s="60">
        <f t="shared" si="6"/>
        <v>0</v>
      </c>
      <c r="E47" s="60">
        <f t="shared" si="6"/>
        <v>0</v>
      </c>
      <c r="F47" s="60">
        <f t="shared" si="6"/>
        <v>0</v>
      </c>
      <c r="G47" s="60">
        <f t="shared" si="6"/>
        <v>0</v>
      </c>
      <c r="H47" s="60">
        <f t="shared" si="6"/>
        <v>0</v>
      </c>
      <c r="I47" s="60">
        <f t="shared" si="6"/>
        <v>0</v>
      </c>
      <c r="J47" s="60">
        <f t="shared" si="6"/>
        <v>0</v>
      </c>
      <c r="K47" s="60">
        <f t="shared" si="6"/>
        <v>0</v>
      </c>
      <c r="L47" s="60">
        <f t="shared" si="6"/>
        <v>0</v>
      </c>
      <c r="M47" s="60">
        <f t="shared" si="6"/>
        <v>0</v>
      </c>
      <c r="N47" s="4"/>
      <c r="O47" s="7"/>
      <c r="P47" s="12"/>
      <c r="Q47" s="4"/>
      <c r="R47" s="4"/>
      <c r="S47" s="4"/>
    </row>
    <row r="48" spans="1:20" x14ac:dyDescent="0.25">
      <c r="A48" s="8" t="s">
        <v>31</v>
      </c>
      <c r="B48" s="60">
        <f t="shared" ref="B48:M48" si="7">B17</f>
        <v>0</v>
      </c>
      <c r="C48" s="60">
        <f t="shared" si="7"/>
        <v>0</v>
      </c>
      <c r="D48" s="60">
        <f t="shared" si="7"/>
        <v>0</v>
      </c>
      <c r="E48" s="60">
        <f t="shared" si="7"/>
        <v>0</v>
      </c>
      <c r="F48" s="60">
        <f t="shared" si="7"/>
        <v>0</v>
      </c>
      <c r="G48" s="60">
        <f t="shared" si="7"/>
        <v>0</v>
      </c>
      <c r="H48" s="60">
        <f t="shared" si="7"/>
        <v>0</v>
      </c>
      <c r="I48" s="60">
        <f t="shared" si="7"/>
        <v>0</v>
      </c>
      <c r="J48" s="60">
        <f t="shared" si="7"/>
        <v>0</v>
      </c>
      <c r="K48" s="60">
        <f t="shared" si="7"/>
        <v>0</v>
      </c>
      <c r="L48" s="60">
        <f t="shared" si="7"/>
        <v>0</v>
      </c>
      <c r="M48" s="60">
        <f t="shared" si="7"/>
        <v>0</v>
      </c>
      <c r="N48" s="4"/>
      <c r="O48" s="7"/>
      <c r="P48" s="12"/>
      <c r="Q48" s="4"/>
      <c r="R48" s="4"/>
      <c r="S48" s="4"/>
    </row>
    <row r="49" spans="1:19" x14ac:dyDescent="0.25">
      <c r="A49" s="8" t="s">
        <v>40</v>
      </c>
      <c r="B49" s="60">
        <f>($B$160+$B$14)/12</f>
        <v>0</v>
      </c>
      <c r="C49" s="60">
        <f>($B$160+$B$14)/12+($C$14+$C$160)/11</f>
        <v>0</v>
      </c>
      <c r="D49" s="60">
        <f>($B$160+$B$14)/12+($C$14+$C$160)/11+($D$14+$D$160)/10</f>
        <v>0</v>
      </c>
      <c r="E49" s="60">
        <f>($B$160+$B$14)/12+($C$14+$C$160)/11+($D$14+$D$160)/10+($E$14+$E$160)/9</f>
        <v>0</v>
      </c>
      <c r="F49" s="60">
        <f>($B$160+$B$14)/12+($C$14+$C$160)/11+($D$14+$D$160)/10+($E$14+$E$160)/9+($F$14+$F$160)/8</f>
        <v>0</v>
      </c>
      <c r="G49" s="60">
        <f>($B$160+$B$14)/12+($C$14+$C$160)/11+($D$14+$D$160)/10+($E$14+$E$160)/9+($F$14+$F$160)/8+($G$14+$G$160)/7</f>
        <v>0</v>
      </c>
      <c r="H49" s="60">
        <f>($B$160+$B$14)/12+($C$14+$C$160)/11+($D$14+$D$160)/10+($E$14+$E$160)/9+($F$14+$F$160)/8+($G$14+$G$160)/7+($H$14+$H$160)/6</f>
        <v>0</v>
      </c>
      <c r="I49" s="60">
        <f>($B$160+$B$14)/12+($C$14+$C$160)/11+($D$14+$D$160)/10+($E$14+$E$160)/9+($F$14+$F$160)/8+($G$14+$G$160)/7+($H$14+$H$160)/6+($I$14+$I$160)/5</f>
        <v>0</v>
      </c>
      <c r="J49" s="60">
        <f>($B$160+$B$14)/12+($C$14+$C$160)/11+($D$14+$D$160)/10+($E$14+$E$160)/9+($F$14+$F$160)/8+($G$14+$G$160)/7+($H$14+$H$160)/6+($I$14+$I$160)/5+($J$14+$J$160)/4</f>
        <v>0</v>
      </c>
      <c r="K49" s="60">
        <f>($B$160+$B$14)/12+($C$14+$C$160)/11+($D$14+$D$160)/10+($E$14+$E$160)/9+($F$14+$F$160)/8+($G$14+$G$160)/7+($H$14+$H$160)/6+($I$14+$I$160)/5+($J$14+$J$160)/4+($K$14+$K$160)/3</f>
        <v>0</v>
      </c>
      <c r="L49" s="60">
        <f>($B$160+$B$14)/12+($C$14+$C$160)/11+($D$14+$D$160)/10+($E$14+$E$160)/9+($F$14+$F$160)/8+($G$14+$G$160)/7+($H$14+$H$160)/6+($I$14+$I$160)/5+($J$14+$J$160)/4+($K$14+$K$160)/3+(L$14+$L$160)/2</f>
        <v>0</v>
      </c>
      <c r="M49" s="60">
        <f>($B$160+$B$14)/12+($C$14+$C$160)/11+($D$14+$D$160)/10+($E$14+$E$160)/9+($F$14+$F$160)/8+($G$14+$G$160)/7+($H$14+$H$160)/6+($I$14+$I$160)/5+($J$14+$J$160)/4+($K$14+$K$160)/3+(M$14+$L$160)/2+($M$14+$M$160)</f>
        <v>0</v>
      </c>
      <c r="N49" s="4"/>
      <c r="O49" s="7"/>
      <c r="P49" s="12"/>
      <c r="Q49" s="4"/>
      <c r="R49" s="4"/>
      <c r="S49" s="4"/>
    </row>
    <row r="50" spans="1:19" x14ac:dyDescent="0.25">
      <c r="A50" s="8" t="s">
        <v>33</v>
      </c>
      <c r="B50" s="60">
        <f>$B$18/12</f>
        <v>0</v>
      </c>
      <c r="C50" s="60">
        <f>$B$18/12+$C$18/11</f>
        <v>0</v>
      </c>
      <c r="D50" s="60">
        <f>$B$18/12+$C$18/11+$D$18/10</f>
        <v>0</v>
      </c>
      <c r="E50" s="60">
        <f>$B$18/12+$C$18/11+$D$18/10+$E$18/9</f>
        <v>0</v>
      </c>
      <c r="F50" s="60">
        <f>$B$18/12+$C$18/11+$D$18/10+$E$18/9+$F$18/8</f>
        <v>0</v>
      </c>
      <c r="G50" s="60">
        <f>$B$18/12+$C$18/11+$D$18/10+$E$18/9+$F$18/8+$G$18/7</f>
        <v>0</v>
      </c>
      <c r="H50" s="60">
        <f>$B$18/12+$C$18/11+$D$18/10+$E$18/9+$F$18/8+$G$18/7+$H$18/6</f>
        <v>0</v>
      </c>
      <c r="I50" s="60">
        <f>$B$18/12+$C$18/11+$D$18/10+$E$18/9+$F$18/8+$G$18/7+$H$18/6+$I$18/5</f>
        <v>0</v>
      </c>
      <c r="J50" s="60">
        <f>$B$18/12+$C$18/11+$D$18/10+$E$18/9+$F$18/8+$G$18/7+$H$18/6+$I$18/5+$J$18/4</f>
        <v>0</v>
      </c>
      <c r="K50" s="60">
        <f>$B$18/12+$C$18/11+$D$18/10+$E$18/9+$F$18/8+$G$18/7+$H$18/6+$I$18/5+$J$18/4+$K$18/3</f>
        <v>0</v>
      </c>
      <c r="L50" s="60">
        <f>$B$18/12+$C$18/11+$D$18/10+$E$18/9+$F$18/8+$G$18/7+$H$18/6+$I$18/5+$J$18/4+$K$18/3+$L$18/2</f>
        <v>0</v>
      </c>
      <c r="M50" s="60">
        <f>$B$18/12+$C$18/11+$D$18/10+$E$18/9+$F$18/8+$G$18/7+$H$18/6+$I$18/5+$J$18/4+$K$18/3+$L$18/2+$M$18</f>
        <v>0</v>
      </c>
      <c r="N50" s="4"/>
      <c r="O50" s="7"/>
      <c r="P50" s="12"/>
      <c r="Q50" s="4"/>
      <c r="R50" s="4"/>
      <c r="S50" s="4"/>
    </row>
    <row r="51" spans="1:19" x14ac:dyDescent="0.25">
      <c r="A51" s="47" t="s">
        <v>41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4"/>
      <c r="O51" s="7"/>
      <c r="P51" s="12"/>
      <c r="Q51" s="4"/>
      <c r="R51" s="4"/>
      <c r="S51" s="4"/>
    </row>
    <row r="52" spans="1:19" x14ac:dyDescent="0.25">
      <c r="A52" s="41" t="s">
        <v>39</v>
      </c>
      <c r="B52" s="61">
        <f t="shared" ref="B52:M52" si="8">B31+B32</f>
        <v>0</v>
      </c>
      <c r="C52" s="61">
        <f t="shared" si="8"/>
        <v>0</v>
      </c>
      <c r="D52" s="61">
        <f t="shared" si="8"/>
        <v>0</v>
      </c>
      <c r="E52" s="61">
        <f t="shared" si="8"/>
        <v>0</v>
      </c>
      <c r="F52" s="61">
        <f t="shared" si="8"/>
        <v>0</v>
      </c>
      <c r="G52" s="61">
        <f t="shared" si="8"/>
        <v>0</v>
      </c>
      <c r="H52" s="61">
        <f t="shared" si="8"/>
        <v>0</v>
      </c>
      <c r="I52" s="61">
        <f t="shared" si="8"/>
        <v>0</v>
      </c>
      <c r="J52" s="61">
        <f t="shared" si="8"/>
        <v>0</v>
      </c>
      <c r="K52" s="61">
        <f t="shared" si="8"/>
        <v>0</v>
      </c>
      <c r="L52" s="61">
        <f t="shared" si="8"/>
        <v>0</v>
      </c>
      <c r="M52" s="61">
        <f t="shared" si="8"/>
        <v>0</v>
      </c>
      <c r="N52" s="4"/>
      <c r="O52" s="7"/>
      <c r="P52" s="12"/>
      <c r="Q52" s="4"/>
      <c r="R52" s="4"/>
      <c r="S52" s="4"/>
    </row>
    <row r="53" spans="1:19" x14ac:dyDescent="0.25">
      <c r="A53" s="41" t="s">
        <v>31</v>
      </c>
      <c r="B53" s="61">
        <f t="shared" ref="B53:M53" si="9">B33</f>
        <v>0</v>
      </c>
      <c r="C53" s="61">
        <f t="shared" si="9"/>
        <v>0</v>
      </c>
      <c r="D53" s="61">
        <f t="shared" si="9"/>
        <v>0</v>
      </c>
      <c r="E53" s="61">
        <f t="shared" si="9"/>
        <v>0</v>
      </c>
      <c r="F53" s="61">
        <f t="shared" si="9"/>
        <v>0</v>
      </c>
      <c r="G53" s="61">
        <f t="shared" si="9"/>
        <v>0</v>
      </c>
      <c r="H53" s="61">
        <f t="shared" si="9"/>
        <v>0</v>
      </c>
      <c r="I53" s="61">
        <f t="shared" si="9"/>
        <v>0</v>
      </c>
      <c r="J53" s="61">
        <f t="shared" si="9"/>
        <v>0</v>
      </c>
      <c r="K53" s="61">
        <f t="shared" si="9"/>
        <v>0</v>
      </c>
      <c r="L53" s="61">
        <f t="shared" si="9"/>
        <v>0</v>
      </c>
      <c r="M53" s="61">
        <f t="shared" si="9"/>
        <v>0</v>
      </c>
      <c r="N53" s="4"/>
      <c r="O53" s="7"/>
      <c r="P53" s="12"/>
      <c r="Q53" s="4"/>
      <c r="R53" s="4"/>
      <c r="S53" s="4"/>
    </row>
    <row r="54" spans="1:19" x14ac:dyDescent="0.25">
      <c r="A54" s="41" t="s">
        <v>40</v>
      </c>
      <c r="B54" s="60">
        <f>($B$161+$B$35)/12</f>
        <v>0</v>
      </c>
      <c r="C54" s="60">
        <f>($B$161+$B$35)/12+($C$161+$C$35)/11</f>
        <v>0</v>
      </c>
      <c r="D54" s="60">
        <f>($B$161+$B$35)/12+($C$35+$C$161)/11+($D$35+$D$161)/10</f>
        <v>0</v>
      </c>
      <c r="E54" s="60">
        <f>($B$161+$B$35)/12+($C$35+$C$161)/11+($D$35+$D$161)/10+($E$35+$E$161)/9</f>
        <v>0</v>
      </c>
      <c r="F54" s="60">
        <f>($B$161+$B$35)/12+($C$35+$C$161)/11+($D$35+$D$161)/10+($E$35+$E$161)/9+($F$35+$F$161)/8</f>
        <v>0</v>
      </c>
      <c r="G54" s="60">
        <f>($B$161+$B$35)/12+($C$35+$C$161)/11+($D$35+$D$161)/10+($E$35+$E$161)/9+($F$35+$F$161)/8+($G$35+$G$161)/7</f>
        <v>0</v>
      </c>
      <c r="H54" s="60">
        <f>($B$161+$B$35)/12+($C$35+$C$161)/11+($D$35+$D$161)/10+($E$35+$E$161)/9+($F$35+$F$161)/8+($G$35+$G$161)/7+($H$35+$H$161)/6</f>
        <v>0</v>
      </c>
      <c r="I54" s="60">
        <f>($B$161+$B$35)/12+($C$35+$C$161)/11+($D$35+$D$161)/10+($E$35+$E$161)/9+($F$35+$F$161)/8+($G$35+$G$161)/7+($H$35+$H$161)/6+($I$35+$I$161)/5</f>
        <v>0</v>
      </c>
      <c r="J54" s="60">
        <f>($B$161+$B$35)/12+($C$35+$C$161)/11+($D$35+$D$161)/10+($E$35+$E$161)/9+($F$35+$F$161)/8+($G$35+$G$161)/7+($H$35+$H$161)/6+($I$35+$I$161)/5+($J$35+$J$161)/4</f>
        <v>0</v>
      </c>
      <c r="K54" s="60">
        <f>($B$161+$B$35)/12+($C$35+$C$161)/11+($D$35+$D$161)/10+($E$35+$E$161)/9+($F$35+$F$161)/8+($G$35+$G$161)/7+($H$35+$H$161)/6+($I$35+$I$161)/5+($J$35+$J$161)/4+($K$35+$K$161)/3</f>
        <v>0</v>
      </c>
      <c r="L54" s="60">
        <f>($B$161+$B$35)/12+($C$35+$C$161)/11+($D$35+$D$161)/10+($E$35+$E$161)/9+($F$35+$F$161)/8+($G$35+$G$161)/7+($H$35+$H$161)/6+($I$35+$I$161)/5+($J$35+$J$161)/4+($K$35+$K$161)/3+(L$35+$L$161)/2</f>
        <v>0</v>
      </c>
      <c r="M54" s="60">
        <f>($B$161+$B$35)/12+($C$35+$C$161)/11+($D$35+$D$161)/10+($E$35+$E$161)/9+($F$35+$F$161)/8+($G$35+$G$161)/7+($H$35+$H$161)/6+($I$35+$I$161)/5+($J$35+$J$161)/4+($K$35+$K$161)/3+(L$35+$L$161)/2+($M$35+$M$161)</f>
        <v>0</v>
      </c>
      <c r="N54" s="4"/>
      <c r="O54" s="9"/>
      <c r="P54" s="12"/>
      <c r="Q54" s="4"/>
      <c r="R54" s="4"/>
      <c r="S54" s="4"/>
    </row>
    <row r="55" spans="1:19" ht="15.75" customHeight="1" x14ac:dyDescent="0.25">
      <c r="A55" s="41" t="s">
        <v>33</v>
      </c>
      <c r="B55" s="60">
        <f>$B$36/12</f>
        <v>0</v>
      </c>
      <c r="C55" s="60">
        <f>$B$36/12+$C$36/11</f>
        <v>0</v>
      </c>
      <c r="D55" s="60">
        <f>$B$36/12+$C$36/11+$D$36/10</f>
        <v>0</v>
      </c>
      <c r="E55" s="60">
        <f>$B$36/12+$C$36/11+$D$36/10+$E$36/9</f>
        <v>0</v>
      </c>
      <c r="F55" s="60">
        <f>$B$36/12+$C$36/11+$D$36/10+$E$36/9+$F$36/8</f>
        <v>0</v>
      </c>
      <c r="G55" s="60">
        <f>$B$36/12+$C$36/11+$D$36/10+$E$36/9+$F$36/8+$G$36/7</f>
        <v>0</v>
      </c>
      <c r="H55" s="60">
        <f>$B$36/12+$C$36/11+$D$36/10+$E$36/9+$F$36/8+$G$36/7+$H$36/6</f>
        <v>0</v>
      </c>
      <c r="I55" s="60">
        <f>$B$36/12+$C$36/11+$D$36/10+$E$36/9+$F$36/8+$G$36/7+$H$36/6+$I$36/5</f>
        <v>0</v>
      </c>
      <c r="J55" s="60">
        <f>$B$36/12+$C$36/11+$D$36/10+$E$36/9+$F$36/8+$G$36/7+$H$36/6+$I$36/5+$J$36/4</f>
        <v>0</v>
      </c>
      <c r="K55" s="60">
        <f>$B$36/12+$C$36/11+$D$36/10+$E$36/9+$F$36/8+$G$36/7+$H$36/6+$I$36/5+$J$36/4+$K$36/3</f>
        <v>0</v>
      </c>
      <c r="L55" s="60">
        <f>$B$36/12+$C$36/11+$D$36/10+$E$36/9+$F$36/8+$G$36/7+$H$36/6+$I$36/5+$J$36/4+$K$36/3+$L$36/2</f>
        <v>0</v>
      </c>
      <c r="M55" s="60">
        <f>$B$36/12+$C$36/11+$D$36/10+$E$36/9+$F$36/8+$G$36/7+$H$36/6+$I$36/5+$J$36/4+$K$36/3+$L$36/2+$M$36</f>
        <v>0</v>
      </c>
      <c r="N55" s="4"/>
      <c r="O55" s="9"/>
      <c r="P55" s="12"/>
      <c r="Q55" s="4"/>
      <c r="R55" s="4"/>
      <c r="S55" s="4"/>
    </row>
    <row r="56" spans="1:19" x14ac:dyDescent="0.25">
      <c r="A56" s="21" t="s">
        <v>42</v>
      </c>
      <c r="B56" s="75">
        <f t="shared" ref="B56:M56" si="10">SUM(B47:B55)</f>
        <v>0</v>
      </c>
      <c r="C56" s="75">
        <f t="shared" si="10"/>
        <v>0</v>
      </c>
      <c r="D56" s="75">
        <f t="shared" si="10"/>
        <v>0</v>
      </c>
      <c r="E56" s="75">
        <f t="shared" si="10"/>
        <v>0</v>
      </c>
      <c r="F56" s="75">
        <f t="shared" si="10"/>
        <v>0</v>
      </c>
      <c r="G56" s="75">
        <f t="shared" si="10"/>
        <v>0</v>
      </c>
      <c r="H56" s="75">
        <f t="shared" si="10"/>
        <v>0</v>
      </c>
      <c r="I56" s="75">
        <f t="shared" si="10"/>
        <v>0</v>
      </c>
      <c r="J56" s="75">
        <f t="shared" si="10"/>
        <v>0</v>
      </c>
      <c r="K56" s="75">
        <f t="shared" si="10"/>
        <v>0</v>
      </c>
      <c r="L56" s="75">
        <f t="shared" si="10"/>
        <v>0</v>
      </c>
      <c r="M56" s="75">
        <f t="shared" si="10"/>
        <v>0</v>
      </c>
      <c r="N56" s="4"/>
      <c r="O56" s="9"/>
      <c r="P56" s="12"/>
      <c r="Q56" s="4"/>
      <c r="R56" s="4"/>
      <c r="S56" s="4"/>
    </row>
    <row r="57" spans="1:19" x14ac:dyDescent="0.25">
      <c r="A57" s="41" t="s">
        <v>43</v>
      </c>
      <c r="B57" s="61">
        <f>IF($B$42&gt;404062,$B$56/12,0)</f>
        <v>0</v>
      </c>
      <c r="C57" s="61">
        <f>IF(C42&gt;404062,C56/12,0)</f>
        <v>0</v>
      </c>
      <c r="D57" s="61">
        <f>IF(D42&gt;404062,D56/12,0)</f>
        <v>0</v>
      </c>
      <c r="E57" s="61">
        <f>IF(E42&gt;404062,E56/12,0)</f>
        <v>0</v>
      </c>
      <c r="F57" s="61">
        <f>IF(F42&gt;506230,F56/12,0)</f>
        <v>0</v>
      </c>
      <c r="G57" s="76"/>
      <c r="H57" s="61">
        <f>IF(H42&gt;506230,H56/12,0)</f>
        <v>0</v>
      </c>
      <c r="I57" s="61">
        <f>IF(I42&gt;506230,I56/12,0)</f>
        <v>0</v>
      </c>
      <c r="J57" s="61">
        <f>IF(J42&gt;506230,J56/12,0)</f>
        <v>0</v>
      </c>
      <c r="K57" s="61">
        <f>IF(K42&gt;506230,K56/12,0)</f>
        <v>0</v>
      </c>
      <c r="L57" s="61">
        <f>IF(L42&gt;506230,L56/12,0)</f>
        <v>0</v>
      </c>
      <c r="M57" s="62"/>
      <c r="N57" s="4"/>
      <c r="O57" s="9"/>
      <c r="P57" s="12"/>
      <c r="Q57" s="4"/>
      <c r="R57" s="4"/>
      <c r="S57" s="4"/>
    </row>
    <row r="58" spans="1:19" x14ac:dyDescent="0.25">
      <c r="A58" s="8" t="s">
        <v>44</v>
      </c>
      <c r="B58" s="62"/>
      <c r="C58" s="62"/>
      <c r="D58" s="62"/>
      <c r="E58" s="62"/>
      <c r="F58" s="62"/>
      <c r="G58" s="61">
        <f>IF(G42&lt;=506230,IF(G15+G38&gt;253115, G15+G38-253115-SUM(B57:F57),IF(G15+G38&gt;0,0-SUM(B57:F57),0)),IF(G15+G38&gt;0,G15+G38-SUM(B57:F57),0))</f>
        <v>0</v>
      </c>
      <c r="H58" s="62"/>
      <c r="I58" s="62"/>
      <c r="J58" s="62"/>
      <c r="K58" s="62"/>
      <c r="L58" s="62"/>
      <c r="M58" s="60">
        <f>IF($M$42&lt;=506230,IF((M15+M38)&gt;253115, M15+M38-253115-SUM(H57:L57),0-SUM(H57:L57)),IF(M15+M38&gt;0,M15+M38-SUM(H57:L57),0))</f>
        <v>0</v>
      </c>
      <c r="N58" s="4"/>
      <c r="O58" s="9"/>
      <c r="P58" s="12"/>
      <c r="Q58" s="4"/>
      <c r="R58" s="4"/>
      <c r="S58" s="4"/>
    </row>
    <row r="59" spans="1:19" x14ac:dyDescent="0.25">
      <c r="A59" s="21" t="s">
        <v>45</v>
      </c>
      <c r="B59" s="75">
        <f>B56+B57+B58</f>
        <v>0</v>
      </c>
      <c r="C59" s="75">
        <f t="shared" ref="C59:M59" si="11">C56+C57+C58</f>
        <v>0</v>
      </c>
      <c r="D59" s="75">
        <f t="shared" si="11"/>
        <v>0</v>
      </c>
      <c r="E59" s="75">
        <f t="shared" si="11"/>
        <v>0</v>
      </c>
      <c r="F59" s="75">
        <f t="shared" si="11"/>
        <v>0</v>
      </c>
      <c r="G59" s="75">
        <f t="shared" si="11"/>
        <v>0</v>
      </c>
      <c r="H59" s="75">
        <f t="shared" si="11"/>
        <v>0</v>
      </c>
      <c r="I59" s="75">
        <f t="shared" si="11"/>
        <v>0</v>
      </c>
      <c r="J59" s="75">
        <f t="shared" si="11"/>
        <v>0</v>
      </c>
      <c r="K59" s="75">
        <f t="shared" si="11"/>
        <v>0</v>
      </c>
      <c r="L59" s="75">
        <f t="shared" si="11"/>
        <v>0</v>
      </c>
      <c r="M59" s="75">
        <f t="shared" si="11"/>
        <v>0</v>
      </c>
      <c r="N59" s="4"/>
      <c r="O59" s="9"/>
      <c r="P59" s="12"/>
      <c r="Q59" s="4"/>
      <c r="R59" s="4"/>
      <c r="S59" s="4"/>
    </row>
    <row r="60" spans="1:19" x14ac:dyDescent="0.25">
      <c r="A60" s="45" t="s">
        <v>46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4"/>
      <c r="O60" s="9"/>
      <c r="P60" s="12"/>
      <c r="Q60" s="4"/>
      <c r="R60" s="4"/>
      <c r="S60" s="4"/>
    </row>
    <row r="61" spans="1:19" x14ac:dyDescent="0.25">
      <c r="A61" s="41" t="s">
        <v>24</v>
      </c>
      <c r="B61" s="85">
        <f>IF($B$16&gt;548651.9,(548651.9*$C$164), ($B$47+$B$49+$B$52+$B$54)*$C$164)</f>
        <v>0</v>
      </c>
      <c r="C61" s="85">
        <f>IF($C$16&gt;548651.9,(548651.9*$C$164),($C$47+$C$49+$C$52+$C$54)*$C$164)</f>
        <v>0</v>
      </c>
      <c r="D61" s="85">
        <f>IF($D$16&gt;642142.18,(642142.18*$C$164),($D$47+$D$49+$D$52+$D$54)*$C$164)</f>
        <v>0</v>
      </c>
      <c r="E61" s="85">
        <f>IF($E$16&gt;642142.18,(642142.18*$C$164),($E$47+$E$49+$E$52+$E$54)*$C$164)</f>
        <v>0</v>
      </c>
      <c r="F61" s="85">
        <f>IF($F$16&gt;642142.18,(642142.18*$C$164),($F$47+$F$49+$F$52+$F$54)*$C$164)</f>
        <v>0</v>
      </c>
      <c r="G61" s="85">
        <f>IF(($G$7+$G$8+$G$9+$G$10+$G$11+$G$12+$G$13+$G$14)&gt;963213.27,(963213.27*$C$164),($G$47+$G$49+$G$52+$G$54)*$C$164)</f>
        <v>0</v>
      </c>
      <c r="H61" s="85">
        <f>IF($H$16&gt;642142.18,(642142.18*$C$164),($H$47+$H$49+$H$52+$H$54)*$C$164)</f>
        <v>0</v>
      </c>
      <c r="I61" s="85">
        <f>IF($I$16&gt;642142.18,(642142.18*$C$164),($I$47+$I$49+$I$52+$I$54)*$C$164)</f>
        <v>0</v>
      </c>
      <c r="J61" s="85">
        <f>IF($J$16&gt;642142.18,(642142.18*$C$164),($J$47+$J$49+$J$52+$J$54)*$C$164)</f>
        <v>0</v>
      </c>
      <c r="K61" s="85">
        <f>IF($K$16&gt;642142.18,(642142.18*$C$164),($K$47+$K$49+$K$52+$K$54)*$C$164)</f>
        <v>0</v>
      </c>
      <c r="L61" s="85">
        <f>IF($L$16&gt;642142.18,(642142.18*$C$164),($L$47+$L$49+$L$52+$L$54)*$C$164)</f>
        <v>0</v>
      </c>
      <c r="M61" s="85">
        <f>IF(($M$7+$M$8+$M$9+$M$10+$M$11+$M$12+$M$13+$M$14)&gt;963213.27,(963213.27*$C$164),($M$47+$M$49+$M$52+$M$54)*$C$164)</f>
        <v>0</v>
      </c>
      <c r="N61" s="4"/>
      <c r="O61" s="9"/>
      <c r="P61" s="12"/>
      <c r="Q61" s="4"/>
      <c r="R61" s="4"/>
      <c r="S61" s="4"/>
    </row>
    <row r="62" spans="1:19" x14ac:dyDescent="0.25">
      <c r="A62" s="41" t="s">
        <v>25</v>
      </c>
      <c r="B62" s="85">
        <f>IF($B$16&gt;548651.9,(548651.9*$C$165), ($B$47+$B$49+$B$52+$B$54)*$C$165)</f>
        <v>0</v>
      </c>
      <c r="C62" s="85">
        <f>IF($C$16&gt;548651.9,(548651.9*$C$165),($C$47+$C$49+$C$52+$C$54)*$C$165)</f>
        <v>0</v>
      </c>
      <c r="D62" s="85">
        <f>IF($D$16&gt;642142.18,(642142.18*$C$165),($D$47+$D$49+$D$52+$D$54)*$C$165)</f>
        <v>0</v>
      </c>
      <c r="E62" s="85">
        <f>IF($E$16&gt;642142.18,(642142.18*$C$165),($E$47+$E$49+$E$52+$E$54)*$C$165)</f>
        <v>0</v>
      </c>
      <c r="F62" s="85">
        <f>IF($F$16&gt;642142.18,(642142.18*$C$165),($F$47+$F$49+$F$52+$F$54)*$C$165)</f>
        <v>0</v>
      </c>
      <c r="G62" s="85">
        <f>IF(($G$7+$G$8+$G$9+$G$10+$G$11+$G$12+$G$13+$G$14)&gt;963213.27,(963213.27*$C$165),($G$47+$G$49+$G$52+$G$54)*$C$165)</f>
        <v>0</v>
      </c>
      <c r="H62" s="85">
        <f>IF($H$16&gt;642142.18,(642142.18*$C$165),($H$47+$H$49+$H$52+$H$54)*$C$165)</f>
        <v>0</v>
      </c>
      <c r="I62" s="85">
        <f>IF($I$16&gt;642142.18,(642142.18*$C$165),($I$47+$I$49+$I$52+$I$54)*$C$165)</f>
        <v>0</v>
      </c>
      <c r="J62" s="85">
        <f>IF($J$16&gt;642142.18,(642142.18*$C$165),($J$47+$J$49+$J$52+$J$54)*$C$165)</f>
        <v>0</v>
      </c>
      <c r="K62" s="85">
        <f>IF($K$16&gt;642142.18,(642142.18*$C$165),($K$47+$K$49+$K$52+$K$54)*$C$165)</f>
        <v>0</v>
      </c>
      <c r="L62" s="85">
        <f>IF($L$16&gt;642142.18,(642142.18*$C$165),($L$47+$L$49+$L$52+$L$54)*$C$165)</f>
        <v>0</v>
      </c>
      <c r="M62" s="85">
        <f>IF(($M$7+$M$8+$M$9+$M$10+$M$11+$M$12+$M$13+$M$14)&gt;963213.27,(963213.27*$C$165),($M$47+$M$49+$M$52+$M$54)*$C$165)</f>
        <v>0</v>
      </c>
      <c r="N62" s="4"/>
      <c r="O62" s="9"/>
      <c r="P62" s="12"/>
      <c r="Q62" s="4"/>
      <c r="R62" s="4"/>
      <c r="S62" s="4"/>
    </row>
    <row r="63" spans="1:19" x14ac:dyDescent="0.25">
      <c r="A63" s="41" t="s">
        <v>26</v>
      </c>
      <c r="B63" s="85">
        <f>IF($B$16&gt;548651.9,(548651.9*$C$166), ($B$47+$B$49+$B$52+$B$54)*$C$166)</f>
        <v>0</v>
      </c>
      <c r="C63" s="85">
        <f>IF($C$16&gt;548651.9,(548651.9*$C$166),($C$47+$C$49+$C$52+$C$54)*$C$166)</f>
        <v>0</v>
      </c>
      <c r="D63" s="85">
        <f>IF($D$16&gt;642142.18,(642142.18*$C$166),($D$47+$D$49+$D$52+$D$54)*$C$166)</f>
        <v>0</v>
      </c>
      <c r="E63" s="85">
        <f>IF($E$16&gt;642142.18,(642142.18*$C$166),($E$47+$E$49+$E$52+$E$54)*$C$166)</f>
        <v>0</v>
      </c>
      <c r="F63" s="85">
        <f>IF($F$16&gt;642142.18,(642142.18*$C$166),($F$47+$F$49+$F$52+$F$54)*$C$166)</f>
        <v>0</v>
      </c>
      <c r="G63" s="85">
        <f>IF(($G$7+$G$8+$G$9+$G$10+$G$11+$G$12+$G$13+$G$14)&gt;963213.27,(963213.27*$C$166),($G$47+$G$49+$G$52+$G$54)*$C$166)</f>
        <v>0</v>
      </c>
      <c r="H63" s="85">
        <f>IF($H$16&gt;642142.18,(642142.18*$C$166),($H$47+$H$49+$H$52+$H$54)*$C$166)</f>
        <v>0</v>
      </c>
      <c r="I63" s="85">
        <f>IF($I$16&gt;642142.18,(642142.18*$C$166),($I$47+$I$49+$I$52+$I$54)*$C$166)</f>
        <v>0</v>
      </c>
      <c r="J63" s="85">
        <f>IF($J$16&gt;642142.18,(642142.18*$C$166),($J$47+$J$49+$J$52+$J$54)*$C$166)</f>
        <v>0</v>
      </c>
      <c r="K63" s="85">
        <f>IF($K$16&gt;642142.18,(642142.18*$C$166),($K$47+$K$49+$K$52+$K$54)*$C$166)</f>
        <v>0</v>
      </c>
      <c r="L63" s="85">
        <f>IF($L$16&gt;642142.18,(642142.18*$C$166),($L$47+$L$49+$L$52+$L$54)*$C$166)</f>
        <v>0</v>
      </c>
      <c r="M63" s="85">
        <f>IF(($M$7+$M$8+$M$9+$M$10+$M$11+$M$12+$M$13+$M$14)&gt;963213.27,(963213.27*$C$166),($M$47+$M$49+$M$52+$M$54)*$C$166)</f>
        <v>0</v>
      </c>
      <c r="N63" s="4"/>
      <c r="O63" s="9"/>
      <c r="P63" s="12"/>
      <c r="Q63" s="4"/>
      <c r="R63" s="4"/>
      <c r="S63" s="4"/>
    </row>
    <row r="64" spans="1:19" x14ac:dyDescent="0.25">
      <c r="A64" s="41" t="s">
        <v>27</v>
      </c>
      <c r="B64" s="85">
        <v>0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  <c r="M64" s="85">
        <v>0</v>
      </c>
      <c r="N64" s="4"/>
      <c r="O64" s="9"/>
      <c r="P64" s="12"/>
      <c r="Q64" s="4"/>
      <c r="R64" s="4"/>
      <c r="S64" s="4"/>
    </row>
    <row r="65" spans="1:19" x14ac:dyDescent="0.25">
      <c r="A65" s="44" t="s">
        <v>47</v>
      </c>
      <c r="B65" s="61">
        <f>IF($B$130&gt;20000,20000,$B$130)</f>
        <v>0</v>
      </c>
      <c r="C65" s="61">
        <f>IF(SUM($B$130:$C$130)&gt;20000,(20000-$B$65),$C$130)</f>
        <v>0</v>
      </c>
      <c r="D65" s="61">
        <f>IF(SUM($B$130:$D$130)&gt;20000,(20000-$B$65-$C$65),$D$130)</f>
        <v>0</v>
      </c>
      <c r="E65" s="61">
        <f>IF(SUM($B$130:$E$130)&gt;20000,(20000-$B$65-$C$65-$D$65),$E$130)</f>
        <v>0</v>
      </c>
      <c r="F65" s="61">
        <f>IF(SUM($B$130:$F$130)&gt;20000,(20000-$B$65-$C$65-$D$65-$E$65),$F$130)</f>
        <v>0</v>
      </c>
      <c r="G65" s="61">
        <f>IF(SUM($B$130:$G$130)&gt;20000,(20000-$B$65-$C$65-$D$65-$E$65-$F$65),$G$130)</f>
        <v>0</v>
      </c>
      <c r="H65" s="61">
        <f>IF(SUM($B$130:$H$130)&gt;20000,(20000-$B$65-$C$65-$D$65-$E$65-$F$65-$G$65),$H$130)</f>
        <v>0</v>
      </c>
      <c r="I65" s="61">
        <f>IF(SUM($B$130:$I$130)&gt;20000,(20000-$B$65-$C$65-$D$65-$E$65-$F$65-$G$65-$H$65),$I$130)</f>
        <v>0</v>
      </c>
      <c r="J65" s="61">
        <f>IF(SUM($B$130:$J$130)&gt;20000,(20000-$B$65-$C$65-$D$65-$E$65-$F$65-$G$65-$H$65-$I$65),$J$130)</f>
        <v>0</v>
      </c>
      <c r="K65" s="61">
        <f>IF(SUM($B$130:$K$130)&gt;20000,(20000-$B$65-$C$65-$D$65-$E$65-$F$65-$G$65-$H$65-$I$65-$J$65),$K$130)</f>
        <v>0</v>
      </c>
      <c r="L65" s="61">
        <f>IF(SUM($B$130:$L$130)&gt;20000,(20000-$B$65-$C$65-$D$65-$E$65-$F$65-$G$65-$H$65-$I$65-$J$65-$K$65),$L$130)</f>
        <v>0</v>
      </c>
      <c r="M65" s="61">
        <f>IF(SUM($B$130:$M$130)&gt;20000,(20000-$B$65-$C$65-$D$65-$E$65-$F$65-$G$65-$H$65-$I$65-$J$65-$K$65-$L$65),$M$130)</f>
        <v>0</v>
      </c>
      <c r="N65" s="4"/>
      <c r="O65" s="9"/>
      <c r="P65" s="12"/>
      <c r="Q65" s="4"/>
      <c r="R65" s="4"/>
      <c r="S65" s="4"/>
    </row>
    <row r="66" spans="1:19" x14ac:dyDescent="0.25">
      <c r="A66" s="44" t="s">
        <v>48</v>
      </c>
      <c r="B66" s="61">
        <f>IF($B$132&gt;$B$82,$B$82,$B$132)</f>
        <v>0</v>
      </c>
      <c r="C66" s="61">
        <f>IF(SUM($B$132:$C$132)&gt; $C$82, $C$82-$B$66,SUM($B$132:$C$132)-$B$66)</f>
        <v>0</v>
      </c>
      <c r="D66" s="61">
        <f>IF(SUM($B$132:$D$132)&gt; $D$82, $D$82-$B$66-$C$66,SUM($B$132:$D$132)-$B$66-$C$66)</f>
        <v>0</v>
      </c>
      <c r="E66" s="61">
        <f>IF(SUM($B$132:$E$132)&gt; $E$82, $E$82-$B$66-$C$66-$D$66,SUM($B$132:$E$132)-$B$66-$C$66-$D$66)</f>
        <v>0</v>
      </c>
      <c r="F66" s="61">
        <f>IF(SUM($B$132:$F$132)&gt; $F$82, $F$82-$B$66-$C$66-$D$66-$E$66,SUM($B$132:$F$132)-$B$66-$C$66-$D$66-$E$66)</f>
        <v>0</v>
      </c>
      <c r="G66" s="61">
        <f>IF(SUM($B$132:$G$132)&gt; $G$82, $G$82-$B$66-$C$66-$D$66-E$66-$F$66,SUM($B$132:$G$132)-$B$66-$C$66-$D$66-$E$66-$F$66)</f>
        <v>0</v>
      </c>
      <c r="H66" s="61">
        <f>IF(SUM($B$132:$H$132)&gt; $H$82, $H$82-$B$66-$C$66-$D$66-$E$66-$F$66-$G$66,SUM($B$132:$H$132)-$B$66-$C$66-$D$66-$E$66-$F$66-$G$66)</f>
        <v>0</v>
      </c>
      <c r="I66" s="61">
        <f>IF(SUM($B$132:$I$132)&gt; $I$82, $I$82-$B$66-$C$66-$D$66-$E$66-$F$66-$G$66-$H$66,SUM($B$132:$I$132)-$B$66-$C$66-$D$66-$E$66-$F$66-$G$66-$H$66)</f>
        <v>0</v>
      </c>
      <c r="J66" s="61">
        <f>IF(SUM($B$132:$J$132)&gt; $J$82, $J$82-$B$66-$C$66-$D$66-$E$66-$F$66-$G$66-$H$66-$I$66,SUM($B$132:$J$132)-$B$66-$C$66-$D$66-$E$66-$F$66-$G$66-$H$66-$I$66)</f>
        <v>0</v>
      </c>
      <c r="K66" s="61">
        <f>IF(SUM($B$132:$K$132)&gt; $K$82, $K$82-$B$66-$C$66-$D$66-$E$66-$F$66-$G$66-$H$66-$I$66-$J$66,SUM($B$132:$K$132)-$B$66-$C$66-$D$66-$E$66-$F$66-$G$66-$H$66-$I$66-$J$66)</f>
        <v>0</v>
      </c>
      <c r="L66" s="61">
        <f>IF(SUM($B$132:$L$132)&gt; $L$82, $L$82-$B$66-$C$66-$D$66-$E$66-$F$66-$G$66-H$66-$I$66-$J$66-$K$66,SUM($B$132:$L$132)-$B$66-$C$66-$D$66-$E$66-$F$66-$G$66-$H$66-$I$66-$J$66-$K$66)</f>
        <v>0</v>
      </c>
      <c r="M66" s="61">
        <f>IF(SUM($B$132:$M$132)&gt; $M$82, $M$82-$B$66-$C$66-$D$66-$E$66-$F$66-$G$66-$H$66-$I$66-$J$66-$K$66-$L$66,SUM($B$132:$M$132)-$B$66-$C$66-$D$66-$E$66-$F$66-$G$66-$H$66-$I$66-$J$66-$K$66-$L$66)</f>
        <v>0</v>
      </c>
      <c r="N66" s="4"/>
      <c r="O66" s="9"/>
      <c r="P66" s="12"/>
      <c r="Q66" s="4"/>
      <c r="R66" s="4"/>
      <c r="S66" s="4"/>
    </row>
    <row r="67" spans="1:19" x14ac:dyDescent="0.25">
      <c r="A67" s="44" t="s">
        <v>49</v>
      </c>
      <c r="B67" s="61">
        <f>IF($B$133&gt;$B$82,$B$82,$B$133)</f>
        <v>0</v>
      </c>
      <c r="C67" s="61">
        <f>IF(SUM($B$133:$C$133)&gt; $C$82, $C$82-$B$67,SUM($B$133:$C$133)-$B$67)</f>
        <v>0</v>
      </c>
      <c r="D67" s="61">
        <f>IF(SUM($B$133:$D$133)&gt; $D$82, $D$82-$B$67-$C$67,SUM($B$133:$D$133)-$B$67-$C$67)</f>
        <v>0</v>
      </c>
      <c r="E67" s="61">
        <f>IF(SUM($B$133:$E$133)&gt; $E$82, $E$82-$B$67-$C$67-$D$67,SUM($B$133:$E$133)-$B$67-$C$67-$D$67)</f>
        <v>0</v>
      </c>
      <c r="F67" s="61">
        <f>IF(SUM($B$133:$F$133)&gt; $F$82, $F$82-$B$67-$C$67-$D$67-$E$67,SUM($B$133:$F$133)-$B$67-$C$67-$D$67-$E$67)</f>
        <v>0</v>
      </c>
      <c r="G67" s="61">
        <f>IF(SUM($B$133:$G$133)&gt; $G$82, $G$82-$B$67-$C$67-$D$67-$E$67-$F$67,SUM($B$133:$G$133)-$B$67-$C$67-$D$67-$E$67-$F$67)</f>
        <v>0</v>
      </c>
      <c r="H67" s="61">
        <f>IF(SUM($B$133:$H$133)&gt; $H$82, $H$82-$B$67-$C$67-$D$67-$E$67-$F$67-$G$67,SUM($B$133:$H$133)-$B$67-$C$67-$D$67-$E$67-$F$67-$G$67)</f>
        <v>0</v>
      </c>
      <c r="I67" s="61">
        <f>IF(SUM($B$133:$I$133)&gt; $I$82, $I$82-$B$67-$C$67-$D$67-$E$67-$F$67-$G$67-$H$67,SUM($B$133:$I$133)-$B$67-$C$67-$D$67-$E$67-$F$67-$G$67-$H$67)</f>
        <v>0</v>
      </c>
      <c r="J67" s="61">
        <f>IF(SUM($B$133:$J$133)&gt; $J$82, $J$82-$B$67-$C$67-$D$67-$E$67-$F$67-$G$67-$H$67-$I$67,SUM($B$133:$J$133)-$B$67-$C$67-$D$67-$E$67-$F$67-$G$67-$H$67-$I$67)</f>
        <v>0</v>
      </c>
      <c r="K67" s="61">
        <f>IF(SUM($B$133:$K$133)&gt; $K$82, $K$82-$B$67-$C$67-$D$67-$E$67-$F$67-$G$67-$H$67-$I$67-$J$67,SUM($B$133:$K$133)-$B$67-$C$67-$D$67-$E$67-$F$67-$G$67-$H$67-$I$67-$J$67)</f>
        <v>0</v>
      </c>
      <c r="L67" s="61">
        <f>IF(SUM($B$133:$L$133)&gt; $L$82, $L$82-$B$67-$C$67-$D$67-$E$67-$F$67-$G$67-$H$67-$I$67-$J$67-$K$67,SUM($B$133:$L$133)-$B$67-$C$67-$D$67-$E$67-$F$67-$G$67-$H$67-$I$67-$J$67-$K$67)</f>
        <v>0</v>
      </c>
      <c r="M67" s="61">
        <f>IF(SUM($B$133:$M$133)&gt; $M$82, $M$82-$B$67-$C$67-$D$67-$E$67-$F$67-$G$67-$H$67-I$67-$J$67-$K$67-$L$67,SUM($B$133:$M$133)-$B$67-$C$67-$D$67-$E$67-$F$67-$G$67-$H$67-$I$67-$J$67-$K$67-$L$67)</f>
        <v>0</v>
      </c>
      <c r="N67" s="4"/>
      <c r="O67" s="9"/>
      <c r="P67" s="12"/>
      <c r="Q67" s="4"/>
      <c r="R67" s="4"/>
      <c r="S67" s="4"/>
    </row>
    <row r="68" spans="1:19" x14ac:dyDescent="0.25">
      <c r="A68" s="41" t="s">
        <v>50</v>
      </c>
      <c r="B68" s="61">
        <f>IF($B$134&gt;$B$135,$B$135,$B$134)</f>
        <v>0</v>
      </c>
      <c r="C68" s="61">
        <f>IF(SUM($B$134:$C$134)&gt; $C$135, $C$135-$B$68,SUM($B$134:$C$134)-$B$68)</f>
        <v>0</v>
      </c>
      <c r="D68" s="61">
        <f>IF(SUM($B$134:$D$134)&gt; $D$135, $D$135-$B$68-$C$68,SUM($B$134:$D$134)-$B$68-$C$68)</f>
        <v>0</v>
      </c>
      <c r="E68" s="61">
        <f>IF(SUM($B$134:$E$134)&gt; $E$135, $E$135-$B$68-$C$68-$D$68,SUM($B$134:$E$134)-$B$68-$C$68-$D$68)</f>
        <v>0</v>
      </c>
      <c r="F68" s="61">
        <f>IF(SUM($B$134:$F$134)&gt; $F$135, $F$135-$B$68-$C$68-$D$68-$E$68,SUM($B$134:$F$134)-$B$68-$C$68-$D$68-$E$68)</f>
        <v>0</v>
      </c>
      <c r="G68" s="61">
        <f>IF(SUM($B$134:$G$134)&gt; $G$135, $G$135-$B$68-$C$68-$D$68-$E$68-$F$68,SUM($B$134:$G$134)-$B$68-$C$68-$D$68-$E$68-$F$68)</f>
        <v>0</v>
      </c>
      <c r="H68" s="61">
        <f>IF(SUM($B$134:$H$134)&gt; $H$135, $H$135-$B$68-$C$68-$D$68-$E$68-$F$68-$G$68,SUM($B$134:$H$134)-$B$68-$C$68-$D$68-$E$68-$F$68-$G$68)</f>
        <v>0</v>
      </c>
      <c r="I68" s="61">
        <f>IF(SUM($B$134:$I$134)&gt; $I$135, $I$135-$B$68-$C$68-$D$68-$E$68-$F$68-$G$68-$H$68,SUM($B$134:$I$134)-$B$68-$C$68-$D$68-$E$68-$F$68-$G$68-$H$68)</f>
        <v>0</v>
      </c>
      <c r="J68" s="61">
        <f>IF(SUM($B$134:$J$134)&gt; $J$135, $J$135-$B$68-$C$68-$D$68-$E$68-$F$68-$G$68-$H$68-$I$68,SUM($B$134:$J$134)-$B$68-$C$68-$D$68-$E$68-$F$68-$G$68-$H$68-$I$68)</f>
        <v>0</v>
      </c>
      <c r="K68" s="61">
        <f>IF(SUM($B$134:$K$134)&gt; $K$135, $K$135-$B$68-$C$68-$D$68-$E$68-$F$68-$G$68-$H$68-$I$68-$J$68,SUM($B$134:$K$134)-$B$68-$C$68-$D$68-$E$68-$F$68-$G$68-$H$68-$I$68-$J$68)</f>
        <v>0</v>
      </c>
      <c r="L68" s="61">
        <f>IF(SUM($B$134:$L$134)&gt; $L$135, $L$135-$B$68-$C$68-$D$68-$E$68-$F$68-$G$68-$H$68-$I$68-$J$68-$K$68,SUM($B$134:$L$134)-$B$68-$C$68-$D$68-$E$68-$F$68-$G$68-$H$68-$I$68-$J$68-$K$68)</f>
        <v>0</v>
      </c>
      <c r="M68" s="61">
        <f>IF(SUM($B$134:$M$134)&gt; $M$135, $M$135-$B$68-$C$68-$D$68-$E$68-$F$68-$G$68-$H$68-$I$68-$J$68-$K$68-$L$68,SUM($B$134:$M$134)-$B$68-$C$68-$D$68-$E$68-$F$68-$G$68-$H$68-$I$68-$J$68-$K$68-$L$68)</f>
        <v>0</v>
      </c>
      <c r="N68" s="4"/>
      <c r="O68" s="9"/>
      <c r="P68" s="12"/>
      <c r="Q68" s="4"/>
      <c r="R68" s="4"/>
      <c r="S68" s="4"/>
    </row>
    <row r="69" spans="1:19" x14ac:dyDescent="0.25">
      <c r="A69" s="41" t="s">
        <v>51</v>
      </c>
      <c r="B69" s="61">
        <f>IF($B$136&gt;$B$82,$B$82,$B$136)</f>
        <v>0</v>
      </c>
      <c r="C69" s="61">
        <f>IF(SUM($B$136:$C$136)&gt; $C$82, $C$82-$B$69,SUM($B$136:$C$136)-$B$69)</f>
        <v>0</v>
      </c>
      <c r="D69" s="61">
        <f>IF(SUM($B$136:$D$136)&gt; $D$82, $D$82-$B$69-$C$69,SUM($B$136:$D$136)-$B$69-$C$69)</f>
        <v>0</v>
      </c>
      <c r="E69" s="61">
        <f>IF(SUM($B$136:$E$136)&gt; $E$82, $E$82-$B$69-$C$69-$D$69,SUM($B$136:$E$136)-$B$69-$C$69-$D$69)</f>
        <v>0</v>
      </c>
      <c r="F69" s="61">
        <f>IF(SUM($B$136:$F$136)&gt; $F$82, $F$82-$B$69-$C$69-$D$69-$E$69,SUM($B$136:$F$136)-$B$69-$C$69-$D$69-$E$69)</f>
        <v>0</v>
      </c>
      <c r="G69" s="61">
        <f>IF(SUM($B$136:$G$136)&gt; $G$82, $G$82-$B$69-$C$69-$D$69-$E$69-$F$69,SUM($B$136:$G$136)-$B$69-$C$69-$D$69-$E$69-$F$69)</f>
        <v>0</v>
      </c>
      <c r="H69" s="61">
        <f>IF(SUM($B$136:$H$136)&gt; $H$82, $H$82-$B$69-$C$69-$D$69-$E$69-$F$69-$G$69,SUM($B$136:$H$136)-$B$69-$C$69-$D$69-$E$69-$F$69-$G$69)</f>
        <v>0</v>
      </c>
      <c r="I69" s="61">
        <f>IF(SUM($B$136:$I$136)&gt; $I$82, $I$82-$B$69-$C$69-$D$69-$E$69-$F$69-$G$69-$H$69,SUM($B$136:$I$136)-$B$69-$C$69-$D$69-$E$69-$F$69-$G$69-$H$69)</f>
        <v>0</v>
      </c>
      <c r="J69" s="61">
        <f>IF(SUM($B$136:$J$136)&gt; $J$82, $J$82-$B$69-$C$69-$D$69-$E$69-$F$69-$G$69-$H$69-$I$69,SUM($B$136:$J$136)-$B$69-$C$69-$D$69-$E$69-$F$69-$G$69-$H$69-$I$69)</f>
        <v>0</v>
      </c>
      <c r="K69" s="61">
        <f>IF(SUM($B$136:$K$136)&gt; $K$82, $K$82-$B$69-$C$69-$D$69-$E$69-$F$69-$G$69-$H$69-$I$69-$J$69,SUM($B$136:$K$136)-$B$69-$C$69-$D$69-$E$69-$F$69-$G$69-$H$69-$I$69-$J$69)</f>
        <v>0</v>
      </c>
      <c r="L69" s="61">
        <f>IF(SUM($B$136:$L$136)&gt; $L$82, $L$82-$B$69-$C$69-$D$69-$E$69-$F$69-$G$69-$H$69-$I$69-$J$69-$K$69,SUM($B$136:$L$136)-$B$69-$C$69-$D$69-$E$69-$F$69-$G$69-$H$69-$I$69-$J$69-$K$69)</f>
        <v>0</v>
      </c>
      <c r="M69" s="61">
        <f>IF(SUM($B$136:$M$136)&gt; $M$82, M$82-$B$69-$C$69-$D$69-$E$69-$F$69-$G$69-$H$69-$I$69-$J$69-$K$69-$L$69,SUM($B$136:$M$136)-$B$69-$C$69-$D$69-$E$69-$F$69-$G$69-$H$69-$I$69-$J$69-$K$69-$L$69)</f>
        <v>0</v>
      </c>
      <c r="N69" s="4"/>
      <c r="O69" s="9"/>
      <c r="P69" s="12"/>
      <c r="Q69" s="4"/>
      <c r="R69" s="4"/>
      <c r="S69" s="4"/>
    </row>
    <row r="70" spans="1:19" x14ac:dyDescent="0.25">
      <c r="A70" s="41" t="s">
        <v>166</v>
      </c>
      <c r="B70" s="176">
        <v>0</v>
      </c>
      <c r="C70" s="176">
        <v>0</v>
      </c>
      <c r="D70" s="176">
        <v>0</v>
      </c>
      <c r="E70" s="176">
        <v>0</v>
      </c>
      <c r="F70" s="176">
        <v>0</v>
      </c>
      <c r="G70" s="176">
        <v>0</v>
      </c>
      <c r="H70" s="176">
        <v>0</v>
      </c>
      <c r="I70" s="176">
        <v>0</v>
      </c>
      <c r="J70" s="176">
        <v>0</v>
      </c>
      <c r="K70" s="176">
        <v>0</v>
      </c>
      <c r="L70" s="176">
        <v>0</v>
      </c>
      <c r="M70" s="176">
        <v>0</v>
      </c>
      <c r="N70" s="4"/>
      <c r="O70" s="9"/>
      <c r="P70" s="12"/>
      <c r="Q70" s="4"/>
      <c r="R70" s="4"/>
      <c r="S70" s="4"/>
    </row>
    <row r="71" spans="1:19" x14ac:dyDescent="0.25">
      <c r="A71" s="41" t="s">
        <v>52</v>
      </c>
      <c r="B71" s="61">
        <f>$B$137</f>
        <v>0</v>
      </c>
      <c r="C71" s="61">
        <f>$C$137</f>
        <v>0</v>
      </c>
      <c r="D71" s="61">
        <f>$D$137</f>
        <v>0</v>
      </c>
      <c r="E71" s="61">
        <f>$E$137</f>
        <v>0</v>
      </c>
      <c r="F71" s="61">
        <f>$F$137</f>
        <v>0</v>
      </c>
      <c r="G71" s="61">
        <f>$G$137</f>
        <v>0</v>
      </c>
      <c r="H71" s="61">
        <f>$H$137</f>
        <v>0</v>
      </c>
      <c r="I71" s="61">
        <f>$I$137</f>
        <v>0</v>
      </c>
      <c r="J71" s="61">
        <f>$J$137</f>
        <v>0</v>
      </c>
      <c r="K71" s="61">
        <f>$K$137</f>
        <v>0</v>
      </c>
      <c r="L71" s="61">
        <f>$L$137</f>
        <v>0</v>
      </c>
      <c r="M71" s="61">
        <f>$M$137</f>
        <v>0</v>
      </c>
      <c r="N71" s="4"/>
      <c r="O71" s="9"/>
      <c r="P71" s="12"/>
      <c r="Q71" s="4"/>
      <c r="R71" s="4"/>
      <c r="S71" s="4"/>
    </row>
    <row r="72" spans="1:19" x14ac:dyDescent="0.25">
      <c r="A72" s="41" t="s">
        <v>165</v>
      </c>
      <c r="B72" s="176">
        <v>0</v>
      </c>
      <c r="C72" s="176">
        <v>0</v>
      </c>
      <c r="D72" s="176">
        <v>0</v>
      </c>
      <c r="E72" s="176">
        <v>0</v>
      </c>
      <c r="F72" s="176">
        <v>0</v>
      </c>
      <c r="G72" s="176">
        <v>0</v>
      </c>
      <c r="H72" s="176">
        <v>0</v>
      </c>
      <c r="I72" s="176">
        <v>0</v>
      </c>
      <c r="J72" s="176">
        <v>0</v>
      </c>
      <c r="K72" s="176">
        <v>0</v>
      </c>
      <c r="L72" s="176">
        <v>0</v>
      </c>
      <c r="M72" s="176">
        <v>0</v>
      </c>
      <c r="N72" s="4"/>
      <c r="O72" s="9"/>
      <c r="P72" s="12"/>
      <c r="Q72" s="4"/>
      <c r="R72" s="4"/>
      <c r="S72" s="4"/>
    </row>
    <row r="73" spans="1:19" x14ac:dyDescent="0.25">
      <c r="A73" s="41" t="s">
        <v>140</v>
      </c>
      <c r="B73" s="61">
        <f>IF($B$42&gt;404062, (B61+B62+B63+B64+B65+B66+B67+B68+B69+B70+B71+B72)/12,0)</f>
        <v>0</v>
      </c>
      <c r="C73" s="61">
        <f>IF($C$42&gt;404062,(C61+C62+C63+C64+C65+C66+C67+C68+C69+C70+C71+C72)/12,0)</f>
        <v>0</v>
      </c>
      <c r="D73" s="61">
        <f>IF($D$42&gt;404062,(D61+D62+D63+D64+D65+D66+D67+D68+D69+D70+D71+D72)/12,0)</f>
        <v>0</v>
      </c>
      <c r="E73" s="61">
        <f>IF($E$42&gt;404062,(E61+E62+E63+E64+E65+E66+E67+E68+E69+E70+E71+E72)/12,0)</f>
        <v>0</v>
      </c>
      <c r="F73" s="61">
        <f>IF($F$42&gt;506230,(F61+F62+F63+F64+F65+F66+F67+F68+F69+F70+F71+F72)/12,0)</f>
        <v>0</v>
      </c>
      <c r="G73" s="76"/>
      <c r="H73" s="61">
        <f>IF($H$42&gt;506230,(H61+H62+H63+H64+H65+H66+H67+H68+H69+H70+H71+H72)/12,0)</f>
        <v>0</v>
      </c>
      <c r="I73" s="61">
        <f>IF($I$42&gt;506230,(I61+I62+I63+I64+I65+I66+I67+I68+I69+I70+I71+I72)/12,0)</f>
        <v>0</v>
      </c>
      <c r="J73" s="61">
        <f>IF($J$42&gt;506230,(J61+J62+J63+J64+J65+J66+J67+J68+J69+J70+J71+J72)/12,0)</f>
        <v>0</v>
      </c>
      <c r="K73" s="61">
        <f>IF($K$42&gt;506230,(K61+K62+K63+K64+K65+K66+K67+K68+K69+K70+K71+K72)/12,0)</f>
        <v>0</v>
      </c>
      <c r="L73" s="61">
        <f>IF($L$42&gt;506230,(L61+L62+L63+L64+L65+L66+L67+L68+L69+L70+L71+L72)/12,0)</f>
        <v>0</v>
      </c>
      <c r="M73" s="62"/>
      <c r="N73" s="4"/>
      <c r="O73" s="9"/>
      <c r="P73" s="12"/>
      <c r="Q73" s="4"/>
      <c r="R73" s="4"/>
      <c r="S73" s="4"/>
    </row>
    <row r="74" spans="1:19" x14ac:dyDescent="0.25">
      <c r="A74" s="41" t="s">
        <v>141</v>
      </c>
      <c r="B74" s="62"/>
      <c r="C74" s="62"/>
      <c r="D74" s="62"/>
      <c r="E74" s="62"/>
      <c r="F74" s="62"/>
      <c r="G74" s="61">
        <f>+$G$58*($C$164+$C$165+$C$166)</f>
        <v>0</v>
      </c>
      <c r="H74" s="62"/>
      <c r="I74" s="62"/>
      <c r="J74" s="62"/>
      <c r="K74" s="62"/>
      <c r="L74" s="62"/>
      <c r="M74" s="61">
        <f>+$M$58*($C$164+$C$165+$C$166)</f>
        <v>0</v>
      </c>
      <c r="N74" s="4"/>
      <c r="O74" s="9"/>
      <c r="P74" s="12"/>
      <c r="Q74" s="4"/>
      <c r="R74" s="4"/>
      <c r="S74" s="4"/>
    </row>
    <row r="75" spans="1:19" x14ac:dyDescent="0.25">
      <c r="A75" s="21" t="s">
        <v>53</v>
      </c>
      <c r="B75" s="75">
        <f>SUM(B61:B74)</f>
        <v>0</v>
      </c>
      <c r="C75" s="75">
        <f t="shared" ref="C75:M75" si="12">SUM(C61:C74)</f>
        <v>0</v>
      </c>
      <c r="D75" s="75">
        <f t="shared" si="12"/>
        <v>0</v>
      </c>
      <c r="E75" s="75">
        <f t="shared" si="12"/>
        <v>0</v>
      </c>
      <c r="F75" s="75">
        <f t="shared" si="12"/>
        <v>0</v>
      </c>
      <c r="G75" s="75">
        <f t="shared" si="12"/>
        <v>0</v>
      </c>
      <c r="H75" s="75">
        <f t="shared" si="12"/>
        <v>0</v>
      </c>
      <c r="I75" s="75">
        <f t="shared" si="12"/>
        <v>0</v>
      </c>
      <c r="J75" s="75">
        <f t="shared" si="12"/>
        <v>0</v>
      </c>
      <c r="K75" s="75">
        <f t="shared" si="12"/>
        <v>0</v>
      </c>
      <c r="L75" s="75">
        <f t="shared" si="12"/>
        <v>0</v>
      </c>
      <c r="M75" s="75">
        <f t="shared" si="12"/>
        <v>0</v>
      </c>
      <c r="N75" s="4"/>
      <c r="O75" s="9"/>
      <c r="P75" s="12"/>
      <c r="Q75" s="4"/>
      <c r="R75" s="4"/>
      <c r="S75" s="4"/>
    </row>
    <row r="76" spans="1:19" x14ac:dyDescent="0.25">
      <c r="A76" s="26" t="s">
        <v>136</v>
      </c>
      <c r="B76" s="67">
        <f>$B$59-$B$75</f>
        <v>0</v>
      </c>
      <c r="C76" s="67">
        <f>$C$59-$C$75</f>
        <v>0</v>
      </c>
      <c r="D76" s="67">
        <f>$D$59-$D$75</f>
        <v>0</v>
      </c>
      <c r="E76" s="67">
        <f>$E$59-$E$75</f>
        <v>0</v>
      </c>
      <c r="F76" s="67">
        <f>$F$59-$F$75</f>
        <v>0</v>
      </c>
      <c r="G76" s="67">
        <f>$G$59-$G$75</f>
        <v>0</v>
      </c>
      <c r="H76" s="67">
        <f>$H$59-$H$75</f>
        <v>0</v>
      </c>
      <c r="I76" s="67">
        <f>$I$59-$I$75</f>
        <v>0</v>
      </c>
      <c r="J76" s="67">
        <f>$J$59-$J$75</f>
        <v>0</v>
      </c>
      <c r="K76" s="67">
        <f>$K$59-$K$75</f>
        <v>0</v>
      </c>
      <c r="L76" s="67">
        <f>$L$59-$L$75</f>
        <v>0</v>
      </c>
      <c r="M76" s="67">
        <f>$M$59-$M$75</f>
        <v>0</v>
      </c>
      <c r="N76" s="4"/>
      <c r="O76" s="9"/>
      <c r="P76" s="12"/>
      <c r="Q76" s="4"/>
      <c r="R76" s="4"/>
      <c r="S76" s="4"/>
    </row>
    <row r="77" spans="1:19" x14ac:dyDescent="0.25">
      <c r="A77" s="24" t="s">
        <v>137</v>
      </c>
      <c r="B77" s="77">
        <f>+$B$76</f>
        <v>0</v>
      </c>
      <c r="C77" s="77">
        <f>+$C$76+$B$77</f>
        <v>0</v>
      </c>
      <c r="D77" s="77">
        <f>+$D$76+$C$77</f>
        <v>0</v>
      </c>
      <c r="E77" s="77">
        <f>+$E$76+$D$77</f>
        <v>0</v>
      </c>
      <c r="F77" s="77">
        <f>+$F$76+$E$77</f>
        <v>0</v>
      </c>
      <c r="G77" s="77">
        <f>+$G$76+$F$77</f>
        <v>0</v>
      </c>
      <c r="H77" s="77">
        <f>+$H$76+$G$77</f>
        <v>0</v>
      </c>
      <c r="I77" s="77">
        <f>+$I$76+$H$77</f>
        <v>0</v>
      </c>
      <c r="J77" s="77">
        <f>+$J$76+$I$77</f>
        <v>0</v>
      </c>
      <c r="K77" s="77">
        <f>+$K$76+$J$77</f>
        <v>0</v>
      </c>
      <c r="L77" s="77">
        <f>+$L$76+$K$77</f>
        <v>0</v>
      </c>
      <c r="M77" s="77">
        <f>+$M$76+$L$77</f>
        <v>0</v>
      </c>
      <c r="N77" s="12"/>
      <c r="O77" s="4"/>
      <c r="P77" s="4"/>
      <c r="Q77" s="4"/>
      <c r="R77" s="4"/>
      <c r="S77" s="4"/>
    </row>
    <row r="78" spans="1:19" x14ac:dyDescent="0.25">
      <c r="A78" s="8" t="s">
        <v>54</v>
      </c>
      <c r="B78" s="60">
        <f>IF(($B$77*0.05)&gt;$B$138,$B$138,($B$77*0.05))</f>
        <v>0</v>
      </c>
      <c r="C78" s="60">
        <f>IF(SUM($B$138:$C$138)&gt;$C$145,$C$145-$B$78,SUM($B$138:$C$138)-$B$78)</f>
        <v>0</v>
      </c>
      <c r="D78" s="60">
        <f>IF(SUM($B$138:$D$138)&gt;$D$145,$D$145-$B$78-$C$78,SUM($B$138:$D$138)-$B$78-$C$78)</f>
        <v>0</v>
      </c>
      <c r="E78" s="60">
        <f>IF(SUM($B$138:$E$138)&gt;$E$145,$E$145-$B$78-$C$78-$D$78,SUM($B$138:$E$138)-$B$78-$C$78-$D$78)</f>
        <v>0</v>
      </c>
      <c r="F78" s="60">
        <f>IF(SUM($B$138:$F$138)&gt;$F$145,$F$145-$B$78-$C$78-$D$78-$E$78,SUM($B$138:$F$138)-$B$78-$C$78-$D$78-$E$78)</f>
        <v>0</v>
      </c>
      <c r="G78" s="60">
        <f>IF(SUM($B$138:$G$138)&gt;$G$145,$G$145-$B$78-$C$78-$D$78-$E$78-$F$78,SUM($B$138:$G$138)-$B$78-$C$78-$D$78-$E$78-$F$78)</f>
        <v>0</v>
      </c>
      <c r="H78" s="60">
        <f>IF(SUM($B$138:$H$138)&gt;$H$145,$H$145-$B$78-$C$78-$D$78-$E$78-$F$78-$G$78,SUM($B$138:$H$138)-$B$78-$C$78-$D$78-$E$78-$F$78-$G$78)</f>
        <v>0</v>
      </c>
      <c r="I78" s="60">
        <f>IF(SUM($B$138:$I$138)&gt;$I$145,$I$145-$B$78-$C$78-$D$78-$E$78-$F$78-$G$78-$H$78,SUM($B$138:$I$138)-$B$78-$C$78-$D$78-$E$78-$F$78-$G$78-$H$78)</f>
        <v>0</v>
      </c>
      <c r="J78" s="60">
        <f>IF(SUM($B$138:$J$138)&gt;$J$145,$J$145-$B$78-$C$78-$D$78-$E$78-$F$78-$G$78-$H$78-$I$78,SUM($B$138:$J$138)-$B$78-$C$78-$D$78-$E$78-$F$78-$G$78-$H$78-$I$78)</f>
        <v>0</v>
      </c>
      <c r="K78" s="60">
        <f>IF(SUM($B$138:$K$138)&gt;$K$145,$K$145-$B$78-$C$78-$D$78-$E$78-$F$78-$G$78-$H$78-$I$78-$J$78,SUM($B$138:$K$138)-$B$78-$C$78-$D$78-$E$78-$F$78-$G$78-$H$78-$I$78-$J$78)</f>
        <v>0</v>
      </c>
      <c r="L78" s="60">
        <f>IF(SUM($B$138:$L$138)&gt;$L$145,$L$145-$B$78-$C$78-$D$78-$E$78-$F$78-$G$78-$H$78-$I$78-$J$78-$K$78,SUM($B$138:$L$138)-$B$78-$C$78-$D$78-$E$78-$F$78-$G$78-$H$78-$I$78-$J$78-$K$78)</f>
        <v>0</v>
      </c>
      <c r="M78" s="60">
        <f>IF(SUM($B$138:$M$138)&gt;$M$145,$M$145-$B$78-$C$78-$D$78-$E$78-$F$78-$G$78-$H$78-$I$78-$J$78-$K$78-$L$78,SUM($B$138:$M$138)-$B$78-$C$78-$D$78-$E$78-$F$78-$G$78-$H$78-$I$78-$J$78-$K$78-$L$78)</f>
        <v>0</v>
      </c>
      <c r="N78" s="12"/>
      <c r="O78" s="4"/>
      <c r="P78" s="4"/>
      <c r="Q78" s="4"/>
      <c r="R78" s="4"/>
      <c r="S78" s="4"/>
    </row>
    <row r="79" spans="1:19" ht="15.75" customHeight="1" x14ac:dyDescent="0.25">
      <c r="A79" s="8" t="s">
        <v>55</v>
      </c>
      <c r="B79" s="60">
        <f>IF($B$145&gt;$B$139,$B$139,$B$145)</f>
        <v>0</v>
      </c>
      <c r="C79" s="60">
        <f>IF(SUM($B$139:$C$139)&gt;$C$145,$C$145-$B$79,SUM($B$139:$C$139)-$B$79)</f>
        <v>0</v>
      </c>
      <c r="D79" s="60">
        <f>IF(SUM($B$139:$D$139)&gt;$D$145,$D$145-$B$79-$C$79,SUM($B$139:$D$139)-$B$79-$C$79)</f>
        <v>0</v>
      </c>
      <c r="E79" s="60">
        <f>IF(SUM($B$139:$E$139)&gt;$E$145,$E$145-$B$79-$C$79-$D$79,SUM($B$139:$E$139)-$B$79-$C$79-$D$79)</f>
        <v>0</v>
      </c>
      <c r="F79" s="60">
        <f>IF(SUM($B$139:$F$139)&gt;$F$145,$F$145-$B$79-$C$79-$D$79-$E$79,SUM($B$139:$F$139)-$B$79-$C$79-$D$79-$E$79)</f>
        <v>0</v>
      </c>
      <c r="G79" s="60">
        <f>IF(SUM($B$139:$G$139)&gt;$G$145,$G$145-$B$79-$C$79-$D$79-$E$79-$F$79,SUM($B$139:$G$139)-$B$79-$C$79-$D$79-$E$79-$F$79)</f>
        <v>0</v>
      </c>
      <c r="H79" s="60">
        <f>IF(SUM($B$139:$H$139)&gt;$H$145,$H$145-$B$79-$C$79-$D$79-$E$79-$F$79-$G$79,SUM($B$139:$H$139)-$B$79-$C$79-$D$79-$E$79-$F$79-$G$79)</f>
        <v>0</v>
      </c>
      <c r="I79" s="60">
        <f>IF(SUM($B$139:$I$139)&gt;$I$145,$I$145-$B$79-$C$79-$D$79-$E$79-$F$79-$G$79-$H$79,SUM($B$139:$I$139)-$B$79-$C$79-$D$79-$E$79-$F$79-$G$79-$H$79)</f>
        <v>0</v>
      </c>
      <c r="J79" s="60">
        <f>IF(SUM($B$139:$J$139)&gt;$J$145,$J$145-$B$79-$C$79-$D$79-$E$79-$F$79-$G$79-$H$79-$I$79,SUM($B$139:$J$139)-$B$79-$C$79-$D$79-$E$79-$F$79-$G$79-$H$79-$I$79)</f>
        <v>0</v>
      </c>
      <c r="K79" s="60">
        <f>IF(SUM($B$139:$K$139)&gt;$K$145,$K$145-$B$79-$C$79-$D$79-$E$79-$F$79-$G$79-$H$79-$I$79-$J$79,SUM($B$139:$K$139)-$B$79-$C$79-$D$79-$E$79-$F$79-$G$79-$H$79-$I$79-$J$79)</f>
        <v>0</v>
      </c>
      <c r="L79" s="60">
        <f>IF(SUM($B$139:$L$139)&gt;$L$145,$L$145-$B$79-$C$79-$D$79-$E$79-$F$79-$G$79-$H$79-$I$79-$J$79-$K$79,SUM($B$139:$L$139)-$B$79-$C$79-$D$79-$E$79-$F$79-$G$79-$H$79-$I$79-$J$79-$K$79)</f>
        <v>0</v>
      </c>
      <c r="M79" s="60">
        <f>IF(SUM($B$139:$M$139)&gt;$M$145,$M$145-$B$79-$C$79-$D$79-$E$79-$F$79-$G$79-$H$79-$I$79-$J$79-$K$79-$L$79,SUM($B$139:$M$139)-$B$79-$C$79-$D$79-$E$79-$F$79-$G$79-$H$79-$I$79-$J$79-$K$79-$L$79)</f>
        <v>0</v>
      </c>
      <c r="N79" s="12"/>
      <c r="O79" s="4"/>
      <c r="P79" s="4"/>
      <c r="Q79" s="4"/>
      <c r="R79" s="4"/>
      <c r="S79" s="4"/>
    </row>
    <row r="80" spans="1:19" ht="15.75" customHeight="1" x14ac:dyDescent="0.25">
      <c r="A80" s="46" t="s">
        <v>56</v>
      </c>
      <c r="B80" s="78">
        <f>SUM($B$78:$B$79)</f>
        <v>0</v>
      </c>
      <c r="C80" s="78">
        <f>SUM($C$78:$C$79)</f>
        <v>0</v>
      </c>
      <c r="D80" s="78">
        <f>SUM($D$78:$D$79)</f>
        <v>0</v>
      </c>
      <c r="E80" s="78">
        <f>SUM($E$78:$E$79)</f>
        <v>0</v>
      </c>
      <c r="F80" s="78">
        <f>SUM($F$78:$F$79)</f>
        <v>0</v>
      </c>
      <c r="G80" s="78">
        <f>SUM($G$78:$G$79)</f>
        <v>0</v>
      </c>
      <c r="H80" s="78">
        <f>SUM($H$78:$H$79)</f>
        <v>0</v>
      </c>
      <c r="I80" s="78">
        <f>SUM($I$78:$I$79)</f>
        <v>0</v>
      </c>
      <c r="J80" s="78">
        <f>SUM($J$78:$J$79)</f>
        <v>0</v>
      </c>
      <c r="K80" s="78">
        <f>SUM($K$78:$K$79)</f>
        <v>0</v>
      </c>
      <c r="L80" s="78">
        <f>SUM($L$78:$L$79)</f>
        <v>0</v>
      </c>
      <c r="M80" s="78">
        <f>SUM($M$78:$M$79)</f>
        <v>0</v>
      </c>
      <c r="N80" s="12"/>
      <c r="O80" s="4"/>
      <c r="P80" s="4"/>
      <c r="Q80" s="4"/>
      <c r="R80" s="4"/>
      <c r="S80" s="4"/>
    </row>
    <row r="81" spans="1:19" x14ac:dyDescent="0.25">
      <c r="A81" s="21" t="s">
        <v>57</v>
      </c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4"/>
      <c r="O81" s="9"/>
      <c r="P81" s="12"/>
      <c r="Q81" s="4"/>
      <c r="R81" s="4"/>
      <c r="S81" s="4"/>
    </row>
    <row r="82" spans="1:19" x14ac:dyDescent="0.25">
      <c r="A82" s="8" t="s">
        <v>58</v>
      </c>
      <c r="B82" s="98">
        <v>37640.269999999997</v>
      </c>
      <c r="C82" s="98">
        <v>75280.53</v>
      </c>
      <c r="D82" s="60">
        <v>112920.8</v>
      </c>
      <c r="E82" s="60">
        <v>150561.06</v>
      </c>
      <c r="F82" s="60">
        <v>188201.33</v>
      </c>
      <c r="G82" s="60">
        <v>225841.6</v>
      </c>
      <c r="H82" s="60">
        <v>263481.86</v>
      </c>
      <c r="I82" s="60">
        <v>301122.13</v>
      </c>
      <c r="J82" s="60">
        <v>338762.4</v>
      </c>
      <c r="K82" s="60">
        <v>376402.66</v>
      </c>
      <c r="L82" s="60">
        <v>414042.93</v>
      </c>
      <c r="M82" s="60">
        <v>451683.19</v>
      </c>
      <c r="N82" s="4"/>
      <c r="O82" s="4"/>
      <c r="P82" s="4"/>
      <c r="Q82" s="4"/>
      <c r="R82" s="4"/>
      <c r="S82" s="4"/>
    </row>
    <row r="83" spans="1:19" x14ac:dyDescent="0.25">
      <c r="A83" s="8" t="s">
        <v>59</v>
      </c>
      <c r="B83" s="126">
        <f>$D$108*$B$125</f>
        <v>0</v>
      </c>
      <c r="C83" s="126">
        <f>$D$108*$C$125</f>
        <v>0</v>
      </c>
      <c r="D83" s="126">
        <f>$D$108*$D$125</f>
        <v>0</v>
      </c>
      <c r="E83" s="126">
        <f>$D$108*$E$125</f>
        <v>0</v>
      </c>
      <c r="F83" s="126">
        <f>$D$108*$F$125</f>
        <v>0</v>
      </c>
      <c r="G83" s="126">
        <f>$D$108*$G$125</f>
        <v>0</v>
      </c>
      <c r="H83" s="126">
        <f>$D$108*$H$125</f>
        <v>0</v>
      </c>
      <c r="I83" s="126">
        <f>$D$108*$I$125</f>
        <v>0</v>
      </c>
      <c r="J83" s="126">
        <f>$D$108*$J$125</f>
        <v>0</v>
      </c>
      <c r="K83" s="126">
        <f>$D$108*$K$125</f>
        <v>0</v>
      </c>
      <c r="L83" s="126">
        <f>$D$108*$L$125</f>
        <v>0</v>
      </c>
      <c r="M83" s="126">
        <f>$D$108*$M$125</f>
        <v>0</v>
      </c>
      <c r="N83" s="4"/>
      <c r="O83" s="4"/>
      <c r="P83" s="4"/>
      <c r="Q83" s="4"/>
      <c r="R83" s="4"/>
      <c r="S83" s="4"/>
    </row>
    <row r="84" spans="1:19" x14ac:dyDescent="0.25">
      <c r="A84" s="8" t="s">
        <v>60</v>
      </c>
      <c r="B84" s="126">
        <f>$E$109*$B$126</f>
        <v>0</v>
      </c>
      <c r="C84" s="126">
        <f>$E$109*$C$126</f>
        <v>0</v>
      </c>
      <c r="D84" s="126">
        <f>$E$109*$D$126</f>
        <v>0</v>
      </c>
      <c r="E84" s="126">
        <f>$E$109*$E$126</f>
        <v>0</v>
      </c>
      <c r="F84" s="126">
        <f>$E$109*$F$126</f>
        <v>0</v>
      </c>
      <c r="G84" s="126">
        <f>$E$109*$G$126</f>
        <v>0</v>
      </c>
      <c r="H84" s="126">
        <f>$E$109*$H$126</f>
        <v>0</v>
      </c>
      <c r="I84" s="126">
        <f>$E$109*$I$126</f>
        <v>0</v>
      </c>
      <c r="J84" s="126">
        <f>$E$109*$J$126</f>
        <v>0</v>
      </c>
      <c r="K84" s="126">
        <f>$E$109*$K$126</f>
        <v>0</v>
      </c>
      <c r="L84" s="126">
        <f>$E$109*$L$126</f>
        <v>0</v>
      </c>
      <c r="M84" s="126">
        <f>$E$109*$M$126</f>
        <v>0</v>
      </c>
      <c r="N84" s="4"/>
      <c r="O84" s="4"/>
      <c r="P84" s="4"/>
      <c r="Q84" s="4"/>
      <c r="R84" s="4"/>
      <c r="S84" s="4"/>
    </row>
    <row r="85" spans="1:19" x14ac:dyDescent="0.25">
      <c r="A85" s="8" t="s">
        <v>61</v>
      </c>
      <c r="B85" s="126">
        <f>$E$116*$B$127</f>
        <v>0</v>
      </c>
      <c r="C85" s="126">
        <f>$E$116*$C$127</f>
        <v>0</v>
      </c>
      <c r="D85" s="126">
        <f>$E$116*$D$127</f>
        <v>0</v>
      </c>
      <c r="E85" s="126">
        <f>$E$116*$E$127</f>
        <v>0</v>
      </c>
      <c r="F85" s="126">
        <f>$E$116*$F$127</f>
        <v>0</v>
      </c>
      <c r="G85" s="126">
        <f>$E$116*$G$127</f>
        <v>0</v>
      </c>
      <c r="H85" s="126">
        <f>$E$116*$H$127</f>
        <v>0</v>
      </c>
      <c r="I85" s="126">
        <f>$E$116*$I$127</f>
        <v>0</v>
      </c>
      <c r="J85" s="126">
        <f>$E$116*$J$127</f>
        <v>0</v>
      </c>
      <c r="K85" s="126">
        <f>$E$116*$K$127</f>
        <v>0</v>
      </c>
      <c r="L85" s="126">
        <f>$E$116*$L$127</f>
        <v>0</v>
      </c>
      <c r="M85" s="126">
        <f>$E$116*$M$127</f>
        <v>0</v>
      </c>
      <c r="N85" s="4"/>
      <c r="O85" s="4"/>
      <c r="P85" s="4"/>
      <c r="Q85" s="4"/>
      <c r="R85" s="4"/>
      <c r="S85" s="4"/>
    </row>
    <row r="86" spans="1:19" x14ac:dyDescent="0.25">
      <c r="A86" s="8" t="s">
        <v>62</v>
      </c>
      <c r="B86" s="60">
        <v>180673.28</v>
      </c>
      <c r="C86" s="60">
        <v>361346.56</v>
      </c>
      <c r="D86" s="60">
        <v>542019.83999999997</v>
      </c>
      <c r="E86" s="60">
        <v>722693.12</v>
      </c>
      <c r="F86" s="60">
        <v>903366.39</v>
      </c>
      <c r="G86" s="60">
        <v>1084039.67</v>
      </c>
      <c r="H86" s="60">
        <v>1264712.95</v>
      </c>
      <c r="I86" s="60">
        <v>1445386.23</v>
      </c>
      <c r="J86" s="60">
        <v>1626059.51</v>
      </c>
      <c r="K86" s="60">
        <v>1806732.79</v>
      </c>
      <c r="L86" s="60">
        <v>1987406.07</v>
      </c>
      <c r="M86" s="60">
        <v>2168079.35</v>
      </c>
      <c r="N86" s="4"/>
      <c r="O86" s="4"/>
      <c r="P86" s="4"/>
      <c r="Q86" s="4"/>
      <c r="R86" s="4"/>
      <c r="S86" s="4"/>
    </row>
    <row r="87" spans="1:19" x14ac:dyDescent="0.25">
      <c r="A87" s="43" t="s">
        <v>63</v>
      </c>
      <c r="B87" s="102">
        <f>IF($B$44&gt;404062,0,IF($B$148&gt;0,$B$148,0))</f>
        <v>0</v>
      </c>
      <c r="C87" s="102">
        <f>IF($C$44&gt;404062,0,IF($C$148&gt;0,$C$148,0))</f>
        <v>0</v>
      </c>
      <c r="D87" s="102">
        <f>IF($D$44&gt;404062,0,IF($D$148&gt;0,$D$148,0))</f>
        <v>0</v>
      </c>
      <c r="E87" s="102">
        <f>IF($E$44&gt;404062,0,IF($E$148&gt;0,$E$148,0))</f>
        <v>0</v>
      </c>
      <c r="F87" s="102">
        <f>IF($F$44&gt;506230,0,IF($F$148&gt;0,$F$148,0))</f>
        <v>0</v>
      </c>
      <c r="G87" s="102">
        <f>IF($G$44&gt;506230,0,IF($G$148&gt;0,IF($G$58&lt;0,$G$148,$G$148-($G$58*$C$167)),0))</f>
        <v>0</v>
      </c>
      <c r="H87" s="102">
        <f>IF($H$44&gt;506230,0,IF($H$148&gt;0, $H$148,0))</f>
        <v>0</v>
      </c>
      <c r="I87" s="102">
        <f>IF($I$44&gt;506230,0,IF($I$148&gt;0, $I$148,0))</f>
        <v>0</v>
      </c>
      <c r="J87" s="102">
        <f>IF($J$44&gt;506230,0,IF($J$148&gt;0, $J$148,0))</f>
        <v>0</v>
      </c>
      <c r="K87" s="102">
        <f>IF($K$44&gt;506230,0,IF($K$148&gt;0,$K$148,0))</f>
        <v>0</v>
      </c>
      <c r="L87" s="102">
        <f>IF($L$44&gt;506230,0,IF($L$148&gt;0,$L$148,0))</f>
        <v>0</v>
      </c>
      <c r="M87" s="102">
        <f>IF($M$44&gt;506230,0,IF($M$148&gt;0,IF($M$58&lt;0,$M$148,$M$148-($M$58*$C$167)),0))</f>
        <v>0</v>
      </c>
      <c r="N87" s="4"/>
      <c r="O87" s="4"/>
      <c r="P87" s="4"/>
      <c r="Q87" s="4"/>
      <c r="R87" s="4"/>
      <c r="S87" s="4"/>
    </row>
    <row r="88" spans="1:19" x14ac:dyDescent="0.25">
      <c r="A88" s="48" t="s">
        <v>64</v>
      </c>
      <c r="B88" s="79">
        <f>$B$87</f>
        <v>0</v>
      </c>
      <c r="C88" s="79">
        <f>$B$88+$C$87</f>
        <v>0</v>
      </c>
      <c r="D88" s="79">
        <f>$C$88+$D$87</f>
        <v>0</v>
      </c>
      <c r="E88" s="79">
        <f>$D$88+$E$87</f>
        <v>0</v>
      </c>
      <c r="F88" s="79">
        <f>$E$88+$F$87</f>
        <v>0</v>
      </c>
      <c r="G88" s="79">
        <f>$F$88+$G$87</f>
        <v>0</v>
      </c>
      <c r="H88" s="79">
        <f>$G$88+$H$87</f>
        <v>0</v>
      </c>
      <c r="I88" s="79">
        <f>$H$88+$I$87</f>
        <v>0</v>
      </c>
      <c r="J88" s="79">
        <f>$I$88+$J$87</f>
        <v>0</v>
      </c>
      <c r="K88" s="79">
        <f>$J$88+$K$87</f>
        <v>0</v>
      </c>
      <c r="L88" s="79">
        <f>$K$88+$L$87</f>
        <v>0</v>
      </c>
      <c r="M88" s="79">
        <f>$L$88+$M$87</f>
        <v>0</v>
      </c>
      <c r="N88" s="4"/>
      <c r="O88" s="4"/>
      <c r="P88" s="4"/>
      <c r="Q88" s="4"/>
      <c r="R88" s="4"/>
      <c r="S88" s="4"/>
    </row>
    <row r="89" spans="1:19" x14ac:dyDescent="0.25">
      <c r="A89" s="55" t="s">
        <v>65</v>
      </c>
      <c r="B89" s="104">
        <f>IF(AND($B$44&gt;404062, $B$44&lt;466017), VLOOKUP($B$44, AnexoIV!$A$3:$C$233,3,TRUE),0)</f>
        <v>0</v>
      </c>
      <c r="C89" s="104">
        <f>IF(AND($C$44&gt;404062, $C$44&lt;466017), VLOOKUP($C$44, AnexoIV!$A$3:$C$233,3,TRUE),0)</f>
        <v>0</v>
      </c>
      <c r="D89" s="104">
        <f>IF(AND($D$44&gt;404062, $D$44&lt;466017), VLOOKUP($D$44, AnexoIV!$A$3:$C$233,3,TRUE),0)</f>
        <v>0</v>
      </c>
      <c r="E89" s="104">
        <f>IF(AND($E$44&gt;404062, $E$44&lt;466017), VLOOKUP($E$44, AnexoIV!$A$3:$C$233,3,TRUE),0)</f>
        <v>0</v>
      </c>
      <c r="F89" s="104">
        <f>IF(AND($F$44&gt;506230, $F$44&lt;583851), VLOOKUP($F$44, AnexoIV!$E$3:$G$233,3,TRUE),0)</f>
        <v>0</v>
      </c>
      <c r="G89" s="104">
        <f>IF(AND($G$44&gt;506230, $G$44&lt;583851), VLOOKUP($G$44, AnexoIV!$E$3:$G$233,3,TRUE),0)</f>
        <v>0</v>
      </c>
      <c r="H89" s="104">
        <f>IF(AND($H$44&gt;506230, $H$44&lt;583851), VLOOKUP($H$44, AnexoIV!$E$3:$G$233,3,TRUE),0)</f>
        <v>0</v>
      </c>
      <c r="I89" s="104">
        <f>IF(AND($I$44&gt;506230, $I$44&lt;583851), VLOOKUP($I$44, AnexoIV!$E$3:$G$233,3,TRUE),0)</f>
        <v>0</v>
      </c>
      <c r="J89" s="104">
        <f>IF(AND($J$44&gt;506230, $J$44&lt;583851), VLOOKUP($J$44, AnexoIV!$E$3:$G$233,3,TRUE),0)</f>
        <v>0</v>
      </c>
      <c r="K89" s="104">
        <f>IF(AND($K$44&gt;506230, $K$44&lt;583851), VLOOKUP($K$44, AnexoIV!$E$3:$G$233,3,TRUE),0)</f>
        <v>0</v>
      </c>
      <c r="L89" s="104">
        <f>IF(AND($L$44&gt;506230, $L$44&lt;583851), VLOOKUP($L$44, AnexoIV!$E$3:$G$233,3,TRUE),0)</f>
        <v>0</v>
      </c>
      <c r="M89" s="104">
        <f>IF(AND($M$44&gt;506230, $M$44&lt;583851), VLOOKUP($M$44, AnexoIV!$E$3:$G$233,3,TRUE),0)</f>
        <v>0</v>
      </c>
      <c r="N89" s="4"/>
      <c r="P89" s="4"/>
      <c r="Q89" s="4"/>
      <c r="R89" s="4"/>
      <c r="S89" s="4"/>
    </row>
    <row r="90" spans="1:19" x14ac:dyDescent="0.25">
      <c r="A90" s="42" t="s">
        <v>66</v>
      </c>
      <c r="B90" s="71">
        <f>$B$89</f>
        <v>0</v>
      </c>
      <c r="C90" s="71">
        <f>$B$90+$C$89</f>
        <v>0</v>
      </c>
      <c r="D90" s="71">
        <f>$C$90+$D$89</f>
        <v>0</v>
      </c>
      <c r="E90" s="71">
        <f>$D$90+$E$89</f>
        <v>0</v>
      </c>
      <c r="F90" s="71">
        <f>$E$90+$F$89</f>
        <v>0</v>
      </c>
      <c r="G90" s="71">
        <f>$F$90+$G$89</f>
        <v>0</v>
      </c>
      <c r="H90" s="71">
        <f>$G$90+$H$89</f>
        <v>0</v>
      </c>
      <c r="I90" s="71">
        <f>$H$90+$I$89</f>
        <v>0</v>
      </c>
      <c r="J90" s="71">
        <f>$I$90+$J$89</f>
        <v>0</v>
      </c>
      <c r="K90" s="71">
        <f>$J$90+$K$89</f>
        <v>0</v>
      </c>
      <c r="L90" s="71">
        <f>$K$90+$L$89</f>
        <v>0</v>
      </c>
      <c r="M90" s="71">
        <f>$L$90+$M$89</f>
        <v>0</v>
      </c>
      <c r="N90" s="4"/>
      <c r="P90" s="4"/>
      <c r="Q90" s="4"/>
      <c r="R90" s="4"/>
      <c r="S90" s="4"/>
    </row>
    <row r="91" spans="1:19" x14ac:dyDescent="0.25">
      <c r="A91" s="11" t="s">
        <v>67</v>
      </c>
      <c r="B91" s="64">
        <f>$B$82+$B$83+$B$84+$B$85+$B$86+$B$88+$B$90</f>
        <v>218313.55</v>
      </c>
      <c r="C91" s="64">
        <f>$C$82+$C$83+$C$84+$C$85+$C$86+$C$88+$C$90</f>
        <v>436627.08999999997</v>
      </c>
      <c r="D91" s="64">
        <f>$D$82+$D$83+$D$84+$D$85+$D$86+$D$88+$D$90</f>
        <v>654940.64</v>
      </c>
      <c r="E91" s="64">
        <f>$E$82+$E$83+$E$84+$E$85+$E$86+$E$88+$E$90</f>
        <v>873254.17999999993</v>
      </c>
      <c r="F91" s="64">
        <f>$F$82+$F$83+$F$84+$F$85+$F$86+$F$88+$F$90</f>
        <v>1091567.72</v>
      </c>
      <c r="G91" s="64">
        <f>$G$82+$G$83+$G$84+$G$85+$G$86+$G$88+$G$90</f>
        <v>1309881.27</v>
      </c>
      <c r="H91" s="64">
        <f>$H$82+$H$83+$H$84+$H$85+$H$86+$H$88+$H$90</f>
        <v>1528194.81</v>
      </c>
      <c r="I91" s="64">
        <f>$I$82+$I$83+$I$84+$I$85+$I$86+$I$88+$I$90</f>
        <v>1746508.3599999999</v>
      </c>
      <c r="J91" s="64">
        <f>$J$82+$J$83+$J$84+$J$85+$J$86+$J$88+$J$90</f>
        <v>1964821.9100000001</v>
      </c>
      <c r="K91" s="64">
        <f>$K$82+$K$83+$K$84+$K$85+$K$86+$K$88+$K$90</f>
        <v>2183135.4500000002</v>
      </c>
      <c r="L91" s="64">
        <f>$L$82+$L$83+$L$84+$L$85+$L$86+$L$88+$L$90</f>
        <v>2401449</v>
      </c>
      <c r="M91" s="64">
        <f>$M$82+$M$83+$M$84+$M$85+$M$86+$M$88+$M$90</f>
        <v>2619762.54</v>
      </c>
      <c r="N91" s="4"/>
      <c r="O91" s="4"/>
      <c r="P91" s="4"/>
      <c r="Q91" s="4"/>
      <c r="R91" s="4"/>
      <c r="S91" s="4"/>
    </row>
    <row r="92" spans="1:19" x14ac:dyDescent="0.25">
      <c r="A92" s="3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4"/>
      <c r="O92" s="4"/>
      <c r="P92" s="4"/>
      <c r="Q92" s="4"/>
      <c r="R92" s="4"/>
      <c r="S92" s="4"/>
    </row>
    <row r="93" spans="1:19" x14ac:dyDescent="0.25">
      <c r="A93" s="3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4"/>
      <c r="O93" s="4"/>
      <c r="P93" s="4"/>
      <c r="Q93" s="4"/>
      <c r="R93" s="4"/>
      <c r="S93" s="4"/>
    </row>
    <row r="94" spans="1:19" x14ac:dyDescent="0.25">
      <c r="B94" s="7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4"/>
      <c r="O94" s="4"/>
      <c r="P94" s="4"/>
      <c r="Q94" s="4"/>
      <c r="R94" s="4"/>
      <c r="S94" s="4"/>
    </row>
    <row r="95" spans="1:19" hidden="1" x14ac:dyDescent="0.25">
      <c r="A95" s="17" t="s">
        <v>68</v>
      </c>
      <c r="B95" s="81" t="s">
        <v>69</v>
      </c>
      <c r="C95" s="81" t="s">
        <v>70</v>
      </c>
      <c r="D95" s="81" t="s">
        <v>71</v>
      </c>
      <c r="E95" s="81" t="s">
        <v>72</v>
      </c>
      <c r="F95" s="81" t="s">
        <v>73</v>
      </c>
      <c r="G95" s="81" t="s">
        <v>74</v>
      </c>
      <c r="H95" s="81" t="s">
        <v>75</v>
      </c>
      <c r="I95" s="81" t="s">
        <v>76</v>
      </c>
      <c r="J95" s="81" t="s">
        <v>77</v>
      </c>
      <c r="K95" s="81" t="s">
        <v>78</v>
      </c>
      <c r="L95" s="81" t="s">
        <v>79</v>
      </c>
      <c r="M95" s="82" t="s">
        <v>80</v>
      </c>
      <c r="N95" s="4"/>
      <c r="O95" s="4"/>
      <c r="P95" s="4"/>
      <c r="Q95" s="4"/>
      <c r="R95" s="4"/>
      <c r="S95" s="4"/>
    </row>
    <row r="96" spans="1:19" x14ac:dyDescent="0.25">
      <c r="A96" s="16" t="s">
        <v>81</v>
      </c>
      <c r="B96" s="83">
        <f>IF(($B$77-$B$80-$B$91)&gt;0,$B$77-$B$80-$B$91,0)</f>
        <v>0</v>
      </c>
      <c r="C96" s="83">
        <f>IF(($C$77-$C$80-$C$91)&gt;0,$C$77-$C$80-$C$91,0)</f>
        <v>0</v>
      </c>
      <c r="D96" s="83">
        <f>IF(($D$77-$D$80-$D$91)&gt;0,$D$77-$D$80-$D$91,0)</f>
        <v>0</v>
      </c>
      <c r="E96" s="83">
        <f>IF(($E$77-$E$80-$E$91)&gt;0,$E$77-$E$80-$E$91,0)</f>
        <v>0</v>
      </c>
      <c r="F96" s="83">
        <f>IF(($F$77-$F$80-$F$91)&gt;0,$F$77-$F$80-$F$91,0)</f>
        <v>0</v>
      </c>
      <c r="G96" s="83">
        <f>IF(($G$77-$G$80-$G$91)&gt;0,$G$77-$G$80-$G$91,0)</f>
        <v>0</v>
      </c>
      <c r="H96" s="83">
        <f>IF(($H$77-$H$80-$H$91)&gt;0,$H$77-$H$80-$H$91,0)</f>
        <v>0</v>
      </c>
      <c r="I96" s="83">
        <f>IF(($I$77-$I$80-$I$91)&gt;0,$I$77-$I$80-$I$91,0)</f>
        <v>0</v>
      </c>
      <c r="J96" s="83">
        <f>IF(($J$77-$J$80-$J$91)&gt;0,$J$77-$J$80-$J$91,0)</f>
        <v>0</v>
      </c>
      <c r="K96" s="83">
        <f>IF(($K$77-$K$80-$K$91)&gt;0,$K$77-$K$80-$K$91,0)</f>
        <v>0</v>
      </c>
      <c r="L96" s="83">
        <f>IF(($L$77-$L$80-$L$91)&gt;0,$L$77-$L$80-$L$91,0)</f>
        <v>0</v>
      </c>
      <c r="M96" s="83">
        <f>IF(($M$77-$M$80-$M$91)&gt;0,$M$77-$M$80-$M$91,0)</f>
        <v>0</v>
      </c>
      <c r="N96" s="4"/>
      <c r="O96" s="4"/>
      <c r="P96" s="4"/>
      <c r="Q96" s="4"/>
      <c r="R96" s="4"/>
      <c r="S96" s="4"/>
    </row>
    <row r="97" spans="1:19" x14ac:dyDescent="0.25">
      <c r="A97" s="18" t="s">
        <v>167</v>
      </c>
      <c r="B97" s="84">
        <f>'Escala Impuesto 2023 mensual'!D4</f>
        <v>0</v>
      </c>
      <c r="C97" s="84">
        <f>'Escala Impuesto 2023 mensual'!E4</f>
        <v>0</v>
      </c>
      <c r="D97" s="84">
        <f>'Escala Impuesto 2023 mensual'!F4</f>
        <v>0</v>
      </c>
      <c r="E97" s="84">
        <f>'Escala Impuesto 2023 mensual'!G4</f>
        <v>0</v>
      </c>
      <c r="F97" s="84">
        <f>'Escala Impuesto 2023 mensual'!H4</f>
        <v>0</v>
      </c>
      <c r="G97" s="84">
        <f>'Escala Impuesto 2023 mensual'!I4</f>
        <v>0</v>
      </c>
      <c r="H97" s="84">
        <f>'Escala Impuesto 2023 mensual'!J4</f>
        <v>0</v>
      </c>
      <c r="I97" s="84">
        <f>'Escala Impuesto 2023 mensual'!K4</f>
        <v>0</v>
      </c>
      <c r="J97" s="84">
        <f>'Escala Impuesto 2023 mensual'!L4</f>
        <v>0</v>
      </c>
      <c r="K97" s="84">
        <f>'Escala Impuesto 2023 mensual'!M4</f>
        <v>0</v>
      </c>
      <c r="L97" s="84">
        <f>'Escala Impuesto 2023 mensual'!N4</f>
        <v>0</v>
      </c>
      <c r="M97" s="84">
        <f>'Escala Impuesto 2023 mensual'!O4</f>
        <v>0</v>
      </c>
      <c r="N97" s="4"/>
      <c r="O97" s="4"/>
      <c r="P97" s="4"/>
      <c r="Q97" s="4"/>
      <c r="R97" s="4"/>
      <c r="S97" s="4"/>
    </row>
    <row r="98" spans="1:19" x14ac:dyDescent="0.25">
      <c r="A98" s="25" t="s">
        <v>168</v>
      </c>
      <c r="B98" s="125">
        <f>$B$97</f>
        <v>0</v>
      </c>
      <c r="C98" s="125">
        <f>$C$97-$B$97</f>
        <v>0</v>
      </c>
      <c r="D98" s="125">
        <f>$D$97-$C$97</f>
        <v>0</v>
      </c>
      <c r="E98" s="125">
        <f>$E$97-$D$97</f>
        <v>0</v>
      </c>
      <c r="F98" s="125">
        <f>$F$97-$E$97</f>
        <v>0</v>
      </c>
      <c r="G98" s="125">
        <f>$G$97-$F$97</f>
        <v>0</v>
      </c>
      <c r="H98" s="125">
        <f>$H$97-$G$97</f>
        <v>0</v>
      </c>
      <c r="I98" s="125">
        <f>$I$97-$H$97</f>
        <v>0</v>
      </c>
      <c r="J98" s="125">
        <f>$J$97-$I$97</f>
        <v>0</v>
      </c>
      <c r="K98" s="125">
        <f>$K$97-$J$97</f>
        <v>0</v>
      </c>
      <c r="L98" s="125">
        <f>$L$97-$K$97</f>
        <v>0</v>
      </c>
      <c r="M98" s="125">
        <f>$M$97-$L$97</f>
        <v>0</v>
      </c>
    </row>
    <row r="99" spans="1:19" s="145" customFormat="1" x14ac:dyDescent="0.25">
      <c r="A99" s="143"/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</row>
    <row r="100" spans="1:19" x14ac:dyDescent="0.25">
      <c r="A100" s="42" t="s">
        <v>169</v>
      </c>
      <c r="B100" s="150">
        <f>+B98</f>
        <v>0</v>
      </c>
      <c r="C100" s="150">
        <f t="shared" ref="C100:M100" si="13">+C98</f>
        <v>0</v>
      </c>
      <c r="D100" s="150">
        <f t="shared" si="13"/>
        <v>0</v>
      </c>
      <c r="E100" s="150">
        <f t="shared" si="13"/>
        <v>0</v>
      </c>
      <c r="F100" s="150">
        <f t="shared" si="13"/>
        <v>0</v>
      </c>
      <c r="G100" s="150">
        <f t="shared" si="13"/>
        <v>0</v>
      </c>
      <c r="H100" s="150">
        <f t="shared" si="13"/>
        <v>0</v>
      </c>
      <c r="I100" s="150">
        <f t="shared" si="13"/>
        <v>0</v>
      </c>
      <c r="J100" s="150">
        <f t="shared" si="13"/>
        <v>0</v>
      </c>
      <c r="K100" s="150">
        <f t="shared" si="13"/>
        <v>0</v>
      </c>
      <c r="L100" s="150">
        <f t="shared" si="13"/>
        <v>0</v>
      </c>
      <c r="M100" s="150">
        <f t="shared" si="13"/>
        <v>0</v>
      </c>
      <c r="N100" s="4"/>
      <c r="P100" s="4"/>
      <c r="Q100" s="4"/>
      <c r="R100" s="4"/>
      <c r="S100" s="4"/>
    </row>
    <row r="101" spans="1:19" x14ac:dyDescent="0.25">
      <c r="A101" s="42" t="s">
        <v>170</v>
      </c>
      <c r="B101" s="150">
        <f>+B97</f>
        <v>0</v>
      </c>
      <c r="C101" s="150">
        <f t="shared" ref="C101:M101" si="14">+C97</f>
        <v>0</v>
      </c>
      <c r="D101" s="150">
        <f t="shared" si="14"/>
        <v>0</v>
      </c>
      <c r="E101" s="150">
        <f t="shared" si="14"/>
        <v>0</v>
      </c>
      <c r="F101" s="150">
        <f t="shared" si="14"/>
        <v>0</v>
      </c>
      <c r="G101" s="150">
        <f t="shared" si="14"/>
        <v>0</v>
      </c>
      <c r="H101" s="150">
        <f t="shared" si="14"/>
        <v>0</v>
      </c>
      <c r="I101" s="150">
        <f t="shared" si="14"/>
        <v>0</v>
      </c>
      <c r="J101" s="150">
        <f t="shared" si="14"/>
        <v>0</v>
      </c>
      <c r="K101" s="150">
        <f t="shared" si="14"/>
        <v>0</v>
      </c>
      <c r="L101" s="150">
        <f t="shared" si="14"/>
        <v>0</v>
      </c>
      <c r="M101" s="150">
        <f t="shared" si="14"/>
        <v>0</v>
      </c>
      <c r="N101" s="4"/>
      <c r="P101" s="4"/>
      <c r="Q101" s="4"/>
      <c r="R101" s="4"/>
      <c r="S101" s="4"/>
    </row>
    <row r="102" spans="1:19" s="149" customFormat="1" x14ac:dyDescent="0.25">
      <c r="A102" s="146" t="s">
        <v>171</v>
      </c>
      <c r="B102" s="147">
        <f>+B98-B100</f>
        <v>0</v>
      </c>
      <c r="C102" s="147">
        <f t="shared" ref="C102:M102" si="15">+C98-C100</f>
        <v>0</v>
      </c>
      <c r="D102" s="147">
        <f t="shared" si="15"/>
        <v>0</v>
      </c>
      <c r="E102" s="147">
        <f t="shared" si="15"/>
        <v>0</v>
      </c>
      <c r="F102" s="147">
        <f t="shared" si="15"/>
        <v>0</v>
      </c>
      <c r="G102" s="147">
        <f t="shared" si="15"/>
        <v>0</v>
      </c>
      <c r="H102" s="147">
        <f t="shared" si="15"/>
        <v>0</v>
      </c>
      <c r="I102" s="147">
        <f t="shared" si="15"/>
        <v>0</v>
      </c>
      <c r="J102" s="147">
        <f t="shared" si="15"/>
        <v>0</v>
      </c>
      <c r="K102" s="147">
        <f t="shared" si="15"/>
        <v>0</v>
      </c>
      <c r="L102" s="147">
        <f t="shared" si="15"/>
        <v>0</v>
      </c>
      <c r="M102" s="147">
        <f t="shared" si="15"/>
        <v>0</v>
      </c>
      <c r="N102" s="148"/>
      <c r="P102" s="148"/>
      <c r="Q102" s="148"/>
      <c r="R102" s="148"/>
      <c r="S102" s="148"/>
    </row>
    <row r="103" spans="1:19" s="149" customFormat="1" x14ac:dyDescent="0.25">
      <c r="A103" s="146" t="s">
        <v>172</v>
      </c>
      <c r="B103" s="147">
        <f>+B97-B101</f>
        <v>0</v>
      </c>
      <c r="C103" s="147">
        <f t="shared" ref="C103:M103" si="16">+C97-C101</f>
        <v>0</v>
      </c>
      <c r="D103" s="147">
        <f t="shared" si="16"/>
        <v>0</v>
      </c>
      <c r="E103" s="147">
        <f t="shared" si="16"/>
        <v>0</v>
      </c>
      <c r="F103" s="147">
        <f t="shared" si="16"/>
        <v>0</v>
      </c>
      <c r="G103" s="147">
        <f t="shared" si="16"/>
        <v>0</v>
      </c>
      <c r="H103" s="147">
        <f t="shared" si="16"/>
        <v>0</v>
      </c>
      <c r="I103" s="147">
        <f t="shared" si="16"/>
        <v>0</v>
      </c>
      <c r="J103" s="147">
        <f t="shared" si="16"/>
        <v>0</v>
      </c>
      <c r="K103" s="147">
        <f t="shared" si="16"/>
        <v>0</v>
      </c>
      <c r="L103" s="147">
        <f t="shared" si="16"/>
        <v>0</v>
      </c>
      <c r="M103" s="147">
        <f t="shared" si="16"/>
        <v>0</v>
      </c>
      <c r="N103" s="148"/>
      <c r="P103" s="148"/>
      <c r="Q103" s="148"/>
      <c r="R103" s="148"/>
      <c r="S103" s="148"/>
    </row>
    <row r="104" spans="1:19" x14ac:dyDescent="0.25">
      <c r="G104" s="4"/>
      <c r="I104" s="4"/>
    </row>
    <row r="105" spans="1:19" x14ac:dyDescent="0.25">
      <c r="A105" s="3" t="s">
        <v>82</v>
      </c>
      <c r="G105" s="4"/>
      <c r="I105" s="4"/>
    </row>
    <row r="106" spans="1:19" x14ac:dyDescent="0.25">
      <c r="A106" s="3"/>
      <c r="G106" s="4"/>
      <c r="I106" s="4"/>
    </row>
    <row r="107" spans="1:19" s="30" customFormat="1" ht="60" x14ac:dyDescent="0.25">
      <c r="A107" s="110" t="s">
        <v>83</v>
      </c>
      <c r="B107" s="111"/>
      <c r="C107" s="112" t="s">
        <v>142</v>
      </c>
      <c r="D107" s="111"/>
      <c r="E107" s="111"/>
    </row>
    <row r="108" spans="1:19" s="30" customFormat="1" x14ac:dyDescent="0.25">
      <c r="A108" s="113" t="s">
        <v>152</v>
      </c>
      <c r="B108" s="114">
        <v>0</v>
      </c>
      <c r="C108" s="114">
        <v>12</v>
      </c>
      <c r="D108" s="80">
        <f>+C108/12*B108</f>
        <v>0</v>
      </c>
      <c r="E108" s="115"/>
      <c r="F108" s="31"/>
      <c r="G108" s="31"/>
      <c r="H108" s="31"/>
      <c r="I108" s="31"/>
      <c r="J108" s="31"/>
      <c r="K108" s="31"/>
      <c r="L108" s="31"/>
      <c r="M108" s="31"/>
    </row>
    <row r="109" spans="1:19" s="30" customFormat="1" ht="45" x14ac:dyDescent="0.25">
      <c r="A109" s="116" t="s">
        <v>60</v>
      </c>
      <c r="B109" s="117" t="s">
        <v>153</v>
      </c>
      <c r="C109" s="121"/>
      <c r="D109" s="121"/>
      <c r="E109" s="122">
        <f>SUM(E110:E115)</f>
        <v>0</v>
      </c>
      <c r="G109" s="32"/>
      <c r="I109" s="32"/>
    </row>
    <row r="110" spans="1:19" s="30" customFormat="1" x14ac:dyDescent="0.25">
      <c r="A110" s="118" t="s">
        <v>143</v>
      </c>
      <c r="B110" s="119">
        <v>0</v>
      </c>
      <c r="C110" s="120">
        <v>12</v>
      </c>
      <c r="D110" s="123">
        <f t="shared" ref="D110:D119" si="17">+C110/12</f>
        <v>1</v>
      </c>
      <c r="E110" s="123">
        <f>+B110*D110</f>
        <v>0</v>
      </c>
      <c r="G110" s="32"/>
      <c r="I110" s="32"/>
    </row>
    <row r="111" spans="1:19" s="30" customFormat="1" x14ac:dyDescent="0.25">
      <c r="A111" s="118" t="s">
        <v>144</v>
      </c>
      <c r="B111" s="119">
        <v>0</v>
      </c>
      <c r="C111" s="120">
        <v>12</v>
      </c>
      <c r="D111" s="123">
        <f t="shared" si="17"/>
        <v>1</v>
      </c>
      <c r="E111" s="123">
        <f t="shared" ref="E111:E119" si="18">+B111*D111</f>
        <v>0</v>
      </c>
      <c r="G111" s="32"/>
      <c r="I111" s="32"/>
    </row>
    <row r="112" spans="1:19" s="30" customFormat="1" x14ac:dyDescent="0.25">
      <c r="A112" s="118" t="s">
        <v>145</v>
      </c>
      <c r="B112" s="119">
        <v>0</v>
      </c>
      <c r="C112" s="120">
        <v>12</v>
      </c>
      <c r="D112" s="123">
        <f t="shared" si="17"/>
        <v>1</v>
      </c>
      <c r="E112" s="123">
        <f t="shared" si="18"/>
        <v>0</v>
      </c>
      <c r="G112" s="32"/>
      <c r="I112" s="32"/>
    </row>
    <row r="113" spans="1:14" s="30" customFormat="1" x14ac:dyDescent="0.25">
      <c r="A113" s="118" t="s">
        <v>146</v>
      </c>
      <c r="B113" s="119">
        <v>0</v>
      </c>
      <c r="C113" s="120">
        <v>12</v>
      </c>
      <c r="D113" s="123">
        <f t="shared" si="17"/>
        <v>1</v>
      </c>
      <c r="E113" s="123">
        <f t="shared" si="18"/>
        <v>0</v>
      </c>
      <c r="G113" s="32"/>
      <c r="I113" s="32"/>
    </row>
    <row r="114" spans="1:14" s="30" customFormat="1" x14ac:dyDescent="0.25">
      <c r="A114" s="118" t="s">
        <v>147</v>
      </c>
      <c r="B114" s="119">
        <v>0</v>
      </c>
      <c r="C114" s="120">
        <v>12</v>
      </c>
      <c r="D114" s="123">
        <f t="shared" si="17"/>
        <v>1</v>
      </c>
      <c r="E114" s="123">
        <f t="shared" si="18"/>
        <v>0</v>
      </c>
      <c r="G114" s="32"/>
      <c r="I114" s="32"/>
    </row>
    <row r="115" spans="1:14" s="30" customFormat="1" x14ac:dyDescent="0.25">
      <c r="A115" s="118" t="s">
        <v>148</v>
      </c>
      <c r="B115" s="119">
        <v>0</v>
      </c>
      <c r="C115" s="120">
        <v>12</v>
      </c>
      <c r="D115" s="123">
        <f t="shared" si="17"/>
        <v>1</v>
      </c>
      <c r="E115" s="123">
        <f t="shared" si="18"/>
        <v>0</v>
      </c>
      <c r="G115" s="32"/>
      <c r="I115" s="32"/>
    </row>
    <row r="116" spans="1:14" s="30" customFormat="1" ht="45" x14ac:dyDescent="0.25">
      <c r="A116" s="116" t="s">
        <v>61</v>
      </c>
      <c r="B116" s="117" t="s">
        <v>153</v>
      </c>
      <c r="C116" s="121"/>
      <c r="D116" s="121"/>
      <c r="E116" s="122">
        <f>SUM(E117:E119)</f>
        <v>0</v>
      </c>
      <c r="G116" s="32"/>
      <c r="I116" s="32"/>
    </row>
    <row r="117" spans="1:14" s="30" customFormat="1" x14ac:dyDescent="0.25">
      <c r="A117" s="118" t="s">
        <v>149</v>
      </c>
      <c r="B117" s="119">
        <v>0</v>
      </c>
      <c r="C117" s="120">
        <v>12</v>
      </c>
      <c r="D117" s="123">
        <f t="shared" si="17"/>
        <v>1</v>
      </c>
      <c r="E117" s="123">
        <f t="shared" si="18"/>
        <v>0</v>
      </c>
      <c r="G117" s="32"/>
      <c r="I117" s="32"/>
    </row>
    <row r="118" spans="1:14" s="30" customFormat="1" x14ac:dyDescent="0.25">
      <c r="A118" s="118" t="s">
        <v>150</v>
      </c>
      <c r="B118" s="119">
        <v>0</v>
      </c>
      <c r="C118" s="120">
        <v>12</v>
      </c>
      <c r="D118" s="123">
        <f t="shared" si="17"/>
        <v>1</v>
      </c>
      <c r="E118" s="123">
        <f t="shared" si="18"/>
        <v>0</v>
      </c>
      <c r="G118" s="32"/>
      <c r="I118" s="32"/>
    </row>
    <row r="119" spans="1:14" s="30" customFormat="1" x14ac:dyDescent="0.25">
      <c r="A119" s="118" t="s">
        <v>151</v>
      </c>
      <c r="B119" s="119">
        <v>0</v>
      </c>
      <c r="C119" s="120">
        <v>12</v>
      </c>
      <c r="D119" s="123">
        <f t="shared" si="17"/>
        <v>1</v>
      </c>
      <c r="E119" s="123">
        <f t="shared" si="18"/>
        <v>0</v>
      </c>
      <c r="G119" s="32"/>
      <c r="I119" s="32"/>
    </row>
    <row r="120" spans="1:14" s="30" customFormat="1" hidden="1" x14ac:dyDescent="0.25">
      <c r="B120" s="109">
        <v>0</v>
      </c>
      <c r="G120" s="32"/>
      <c r="I120" s="32"/>
    </row>
    <row r="121" spans="1:14" s="30" customFormat="1" hidden="1" x14ac:dyDescent="0.25">
      <c r="B121" s="107">
        <v>0.5</v>
      </c>
      <c r="G121" s="32"/>
      <c r="I121" s="32"/>
    </row>
    <row r="122" spans="1:14" hidden="1" x14ac:dyDescent="0.25">
      <c r="A122" s="3"/>
      <c r="B122" s="108">
        <v>1</v>
      </c>
      <c r="G122" s="4"/>
      <c r="I122" s="4"/>
    </row>
    <row r="123" spans="1:14" x14ac:dyDescent="0.25">
      <c r="A123" s="23"/>
      <c r="B123" s="28" t="s">
        <v>1</v>
      </c>
      <c r="C123" s="28" t="s">
        <v>2</v>
      </c>
      <c r="D123" s="28" t="s">
        <v>3</v>
      </c>
      <c r="E123" s="28" t="s">
        <v>4</v>
      </c>
      <c r="F123" s="28" t="s">
        <v>5</v>
      </c>
      <c r="G123" s="28" t="s">
        <v>6</v>
      </c>
      <c r="H123" s="28" t="s">
        <v>7</v>
      </c>
      <c r="I123" s="28" t="s">
        <v>8</v>
      </c>
      <c r="J123" s="28" t="s">
        <v>9</v>
      </c>
      <c r="K123" s="28" t="s">
        <v>10</v>
      </c>
      <c r="L123" s="28" t="s">
        <v>11</v>
      </c>
      <c r="M123" s="28" t="s">
        <v>12</v>
      </c>
    </row>
    <row r="124" spans="1:14" hidden="1" x14ac:dyDescent="0.25">
      <c r="A124" s="3"/>
      <c r="G124" s="4"/>
      <c r="I124" s="4"/>
    </row>
    <row r="125" spans="1:14" hidden="1" x14ac:dyDescent="0.25">
      <c r="A125" s="8" t="s">
        <v>59</v>
      </c>
      <c r="B125" s="99">
        <v>35090.69</v>
      </c>
      <c r="C125" s="99">
        <v>70181.37</v>
      </c>
      <c r="D125" s="99">
        <v>105272.06</v>
      </c>
      <c r="E125" s="99">
        <v>140362.75</v>
      </c>
      <c r="F125" s="99">
        <v>175453.43</v>
      </c>
      <c r="G125" s="99">
        <v>210544.12</v>
      </c>
      <c r="H125" s="99">
        <v>245634.8</v>
      </c>
      <c r="I125" s="99">
        <v>280725.49</v>
      </c>
      <c r="J125" s="99">
        <v>315816.18</v>
      </c>
      <c r="K125" s="99">
        <v>350906.86</v>
      </c>
      <c r="L125" s="99">
        <v>385997.55</v>
      </c>
      <c r="M125" s="99">
        <v>421088.24</v>
      </c>
      <c r="N125" s="9"/>
    </row>
    <row r="126" spans="1:14" hidden="1" x14ac:dyDescent="0.25">
      <c r="A126" s="8" t="s">
        <v>60</v>
      </c>
      <c r="B126" s="99">
        <v>17696.36</v>
      </c>
      <c r="C126" s="99">
        <v>35392.730000000003</v>
      </c>
      <c r="D126" s="99">
        <v>53089.09</v>
      </c>
      <c r="E126" s="99">
        <v>70785.460000000006</v>
      </c>
      <c r="F126" s="99">
        <v>88481.82</v>
      </c>
      <c r="G126" s="99">
        <v>106178.18</v>
      </c>
      <c r="H126" s="99">
        <v>123874.55</v>
      </c>
      <c r="I126" s="99">
        <v>141570.91</v>
      </c>
      <c r="J126" s="99">
        <v>159267.28</v>
      </c>
      <c r="K126" s="99">
        <v>176963.64</v>
      </c>
      <c r="L126" s="99">
        <v>194660</v>
      </c>
      <c r="M126" s="99">
        <v>212356.37</v>
      </c>
      <c r="N126" s="9"/>
    </row>
    <row r="127" spans="1:14" hidden="1" x14ac:dyDescent="0.25">
      <c r="A127" s="8" t="s">
        <v>61</v>
      </c>
      <c r="B127" s="99">
        <v>35392.730000000003</v>
      </c>
      <c r="C127" s="99">
        <f t="shared" ref="C127:M127" si="19">C126*2</f>
        <v>70785.460000000006</v>
      </c>
      <c r="D127" s="99">
        <v>106178.18</v>
      </c>
      <c r="E127" s="99">
        <v>141570.91</v>
      </c>
      <c r="F127" s="99">
        <f t="shared" si="19"/>
        <v>176963.64</v>
      </c>
      <c r="G127" s="99">
        <v>212356.37</v>
      </c>
      <c r="H127" s="99">
        <v>247749.1</v>
      </c>
      <c r="I127" s="99">
        <v>283141.83</v>
      </c>
      <c r="J127" s="99">
        <v>318534.55</v>
      </c>
      <c r="K127" s="99">
        <v>353927.28</v>
      </c>
      <c r="L127" s="99">
        <v>389320.01</v>
      </c>
      <c r="M127" s="99">
        <f t="shared" si="19"/>
        <v>424712.74</v>
      </c>
      <c r="N127" s="9"/>
    </row>
    <row r="128" spans="1:14" hidden="1" x14ac:dyDescent="0.25">
      <c r="G128" s="4"/>
      <c r="I128" s="4"/>
    </row>
    <row r="129" spans="1:14" x14ac:dyDescent="0.25">
      <c r="A129" s="3" t="s">
        <v>35</v>
      </c>
      <c r="G129" s="4"/>
      <c r="I129" s="4"/>
    </row>
    <row r="130" spans="1:14" x14ac:dyDescent="0.25">
      <c r="A130" s="29" t="s">
        <v>84</v>
      </c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</row>
    <row r="131" spans="1:14" x14ac:dyDescent="0.25">
      <c r="A131" s="29" t="s">
        <v>85</v>
      </c>
      <c r="B131" s="85">
        <v>0</v>
      </c>
      <c r="C131" s="85">
        <v>0</v>
      </c>
      <c r="D131" s="85">
        <v>0</v>
      </c>
      <c r="E131" s="85"/>
      <c r="F131" s="85"/>
      <c r="G131" s="85"/>
      <c r="H131" s="85"/>
      <c r="I131" s="85"/>
      <c r="J131" s="85"/>
      <c r="K131" s="85"/>
      <c r="L131" s="85"/>
      <c r="M131" s="85"/>
    </row>
    <row r="132" spans="1:14" x14ac:dyDescent="0.25">
      <c r="A132" s="33" t="s">
        <v>86</v>
      </c>
      <c r="B132" s="34">
        <f>B131*0.4</f>
        <v>0</v>
      </c>
      <c r="C132" s="34">
        <f t="shared" ref="C132:M132" si="20">C131*0.4</f>
        <v>0</v>
      </c>
      <c r="D132" s="34">
        <f t="shared" si="20"/>
        <v>0</v>
      </c>
      <c r="E132" s="34">
        <f t="shared" si="20"/>
        <v>0</v>
      </c>
      <c r="F132" s="34">
        <f t="shared" si="20"/>
        <v>0</v>
      </c>
      <c r="G132" s="34">
        <f t="shared" si="20"/>
        <v>0</v>
      </c>
      <c r="H132" s="34">
        <f t="shared" si="20"/>
        <v>0</v>
      </c>
      <c r="I132" s="34">
        <f t="shared" si="20"/>
        <v>0</v>
      </c>
      <c r="J132" s="34">
        <f t="shared" si="20"/>
        <v>0</v>
      </c>
      <c r="K132" s="34">
        <f t="shared" si="20"/>
        <v>0</v>
      </c>
      <c r="L132" s="34">
        <f t="shared" si="20"/>
        <v>0</v>
      </c>
      <c r="M132" s="34">
        <f t="shared" si="20"/>
        <v>0</v>
      </c>
      <c r="N132" s="51"/>
    </row>
    <row r="133" spans="1:14" ht="15.75" customHeight="1" x14ac:dyDescent="0.25">
      <c r="A133" s="29" t="s">
        <v>87</v>
      </c>
      <c r="B133" s="85">
        <v>0</v>
      </c>
      <c r="C133" s="85">
        <v>0</v>
      </c>
      <c r="D133" s="85">
        <v>0</v>
      </c>
      <c r="E133" s="85"/>
      <c r="F133" s="85"/>
      <c r="G133" s="85"/>
      <c r="H133" s="85"/>
      <c r="I133" s="85"/>
      <c r="J133" s="85"/>
      <c r="K133" s="85"/>
      <c r="L133" s="85"/>
      <c r="M133" s="85"/>
    </row>
    <row r="134" spans="1:14" ht="15.75" customHeight="1" x14ac:dyDescent="0.25">
      <c r="A134" s="8" t="s">
        <v>88</v>
      </c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</row>
    <row r="135" spans="1:14" ht="15.75" customHeight="1" x14ac:dyDescent="0.25">
      <c r="A135" s="35" t="s">
        <v>89</v>
      </c>
      <c r="B135" s="36">
        <f>$B$82*0.4</f>
        <v>15056.108</v>
      </c>
      <c r="C135" s="36">
        <f>$C$82*0.4</f>
        <v>30112.212</v>
      </c>
      <c r="D135" s="36">
        <f>$D$82*0.4</f>
        <v>45168.320000000007</v>
      </c>
      <c r="E135" s="36">
        <f>$E$82*0.4</f>
        <v>60224.423999999999</v>
      </c>
      <c r="F135" s="36">
        <f>$F$82*0.4</f>
        <v>75280.531999999992</v>
      </c>
      <c r="G135" s="36">
        <f>$G$82*0.4</f>
        <v>90336.640000000014</v>
      </c>
      <c r="H135" s="36">
        <f>$H$82*0.4</f>
        <v>105392.74400000001</v>
      </c>
      <c r="I135" s="36">
        <f>$I$82*0.4</f>
        <v>120448.85200000001</v>
      </c>
      <c r="J135" s="36">
        <f>$J$82*0.4</f>
        <v>135504.96000000002</v>
      </c>
      <c r="K135" s="36">
        <f>$K$82*0.4</f>
        <v>150561.06399999998</v>
      </c>
      <c r="L135" s="36">
        <f>$L$82*0.4</f>
        <v>165617.17200000002</v>
      </c>
      <c r="M135" s="36">
        <f>$M$82*0.4</f>
        <v>180673.27600000001</v>
      </c>
      <c r="N135" s="51"/>
    </row>
    <row r="136" spans="1:14" ht="15.75" customHeight="1" x14ac:dyDescent="0.25">
      <c r="A136" s="8" t="s">
        <v>90</v>
      </c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</row>
    <row r="137" spans="1:14" ht="15.75" customHeight="1" x14ac:dyDescent="0.25">
      <c r="A137" s="8" t="s">
        <v>52</v>
      </c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</row>
    <row r="138" spans="1:14" ht="15.75" customHeight="1" x14ac:dyDescent="0.25">
      <c r="A138" s="8" t="s">
        <v>91</v>
      </c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</row>
    <row r="139" spans="1:14" ht="15.75" customHeight="1" x14ac:dyDescent="0.25">
      <c r="A139" s="8" t="s">
        <v>92</v>
      </c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</row>
    <row r="140" spans="1:14" ht="15.75" hidden="1" customHeight="1" x14ac:dyDescent="0.25">
      <c r="A140" s="8" t="s">
        <v>93</v>
      </c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51"/>
    </row>
    <row r="141" spans="1:14" ht="15.75" hidden="1" customHeight="1" x14ac:dyDescent="0.25">
      <c r="A141" s="35"/>
      <c r="B141" s="36">
        <f>$B$140*0.4</f>
        <v>0</v>
      </c>
      <c r="C141" s="36">
        <f>$C$140*0.4</f>
        <v>0</v>
      </c>
      <c r="D141" s="36">
        <f>$D$140*0.4</f>
        <v>0</v>
      </c>
      <c r="E141" s="36">
        <f>$E$140*0.4</f>
        <v>0</v>
      </c>
      <c r="F141" s="36">
        <f>$F$140*0.4</f>
        <v>0</v>
      </c>
      <c r="G141" s="36">
        <f>$G$140*0.4</f>
        <v>0</v>
      </c>
      <c r="H141" s="36">
        <f>$H$140*0.4</f>
        <v>0</v>
      </c>
      <c r="I141" s="36">
        <f>$I$140*0.4</f>
        <v>0</v>
      </c>
      <c r="J141" s="36">
        <f>$J$140*0.4</f>
        <v>0</v>
      </c>
      <c r="K141" s="36">
        <f>$K$140*0.4</f>
        <v>0</v>
      </c>
      <c r="L141" s="36">
        <f>$L$140*0.4</f>
        <v>0</v>
      </c>
      <c r="M141" s="36">
        <f>$M$140*0.4</f>
        <v>0</v>
      </c>
      <c r="N141" s="51"/>
    </row>
    <row r="142" spans="1:14" ht="15.75" hidden="1" customHeight="1" x14ac:dyDescent="0.25">
      <c r="A142" s="8" t="s">
        <v>94</v>
      </c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</row>
    <row r="143" spans="1:14" ht="15.75" customHeight="1" x14ac:dyDescent="0.25">
      <c r="I143" s="4"/>
    </row>
    <row r="144" spans="1:14" ht="15.75" customHeight="1" x14ac:dyDescent="0.25">
      <c r="B144" s="4"/>
      <c r="I144" s="4"/>
    </row>
    <row r="145" spans="1:19" hidden="1" x14ac:dyDescent="0.25">
      <c r="A145" s="48" t="s">
        <v>95</v>
      </c>
      <c r="B145" s="49">
        <f>$B$77*0.05</f>
        <v>0</v>
      </c>
      <c r="C145" s="49">
        <f>$C$77*0.05</f>
        <v>0</v>
      </c>
      <c r="D145" s="49">
        <f>$D$77*0.05</f>
        <v>0</v>
      </c>
      <c r="E145" s="49">
        <f>$E$77*0.05</f>
        <v>0</v>
      </c>
      <c r="F145" s="49">
        <f>$F$77*0.05</f>
        <v>0</v>
      </c>
      <c r="G145" s="49">
        <f>$G$77*0.05</f>
        <v>0</v>
      </c>
      <c r="H145" s="49">
        <f>$H$77*0.05</f>
        <v>0</v>
      </c>
      <c r="I145" s="49">
        <f>$I$77*0.05</f>
        <v>0</v>
      </c>
      <c r="J145" s="49">
        <f>$J$77*0.05</f>
        <v>0</v>
      </c>
      <c r="K145" s="49">
        <f>$K$77*0.05</f>
        <v>0</v>
      </c>
      <c r="L145" s="49">
        <f>$L$77*0.05</f>
        <v>0</v>
      </c>
      <c r="M145" s="49">
        <f>$M$77*0.05</f>
        <v>0</v>
      </c>
    </row>
    <row r="146" spans="1:19" hidden="1" x14ac:dyDescent="0.25">
      <c r="A146" s="103" t="s">
        <v>138</v>
      </c>
      <c r="B146" s="101">
        <f>IF((B$77-B$80-B$82-$B$83-$B$84-$B$85-$B$86)&gt;0, $B$76-$B$80-$B$82-$B$83-$B$84-$B$85-$B$86,0)</f>
        <v>0</v>
      </c>
      <c r="C146" s="101">
        <f>IF((C$77-$C$80-$C$82-$C$83-$C$84-$C$85-$C$86-$B$88-$B$90)&gt;0,$C$76-$C$80-$B$80-$B$82-$B$83-$B$84-$B$85-$B$86,0)</f>
        <v>0</v>
      </c>
      <c r="D146" s="101">
        <f>IF(($D$77-$D$80-$D$82-$D$83-$D$84-$D$85-$D$86-$C$88-$C$90)&gt;0,$D$76-$D$80-$C$80-$B$82-$B$83-$B$84-$B$85-$B$86,0)</f>
        <v>0</v>
      </c>
      <c r="E146" s="101">
        <f>IF(($E$77-$E$80-$E$82-$E$83-$E$84-$E$85-$E$86-$D$88-$D$90)&gt;0,$E$76-$E$80-$D$80-$B$82-$B$83-$B$84-$B$85-$B$86,0)</f>
        <v>0</v>
      </c>
      <c r="F146" s="101">
        <f>IF(($F$77-$F$80-$F$82-$F$83-$F$84-$F$85-$F$86-$E$88-$E$90)&gt;0,$F$76-$F$80-$E$80-$B$82-$B$83-$B$84-$B$85-$B$86,0)</f>
        <v>0</v>
      </c>
      <c r="G146" s="101">
        <f>IF(($G$77-$G$80-$G$82-$G$83-$G$84-$G$85-$G$86-$F$88-$F$90)&gt;0,$G$76-$G$80-$F$80-$B$82-$B$83-$B$84-$B$85-$B$86,0)</f>
        <v>0</v>
      </c>
      <c r="H146" s="101">
        <f>IF(($H$77-$H$80-$H$82-$H$83-$H$84-$H$85-$H$86-$G$88-$G$90)&gt;0,$H$76-$H$80-$G$80-$B$82-$B$83-$B$84-$B$85-$B$86,0)</f>
        <v>0</v>
      </c>
      <c r="I146" s="101">
        <f>IF(($I$77-$I$80-$I$82-$I$83-$I$84-$I$85-$I$86-$H$88-$H$90)&gt;0,$I$76-$I$80-$H$80-$B$82-$B$83-$B$84-$B$85-$B$86,0)</f>
        <v>0</v>
      </c>
      <c r="J146" s="101">
        <f>IF(($J$77-$J$80-$J$82-$J$83-$J$84-$J$85-$J$86-$I$88-$I$90)&gt;0,$J$76-$J$80-$I$80-$B$82-$B$83-$B$84-$B$85-$B$86,0)</f>
        <v>0</v>
      </c>
      <c r="K146" s="101">
        <f>IF(($K$77-$K$80-$K$82-$K$83-$K$84-$K$85-$K$86-$J$88-$J$90)&gt;0,$K$76-$K$80-$J$80-$B$82-$B$83-$B$84-$B$85-$B$86,0)</f>
        <v>0</v>
      </c>
      <c r="L146" s="101">
        <f>IF(($L$77-$L$80-$L$82-$L$83-$L$84-$L$85-$L$86-$K$88-$K$90)&gt;0,$L$76-$L$80-$K$80-$B$82-$B$83-$B$84-$B$85-$B$86,0)</f>
        <v>0</v>
      </c>
      <c r="M146" s="101">
        <f>IF(($M$77-$M$80-$M$82-$M$83-$M$84-$M$85-$M$86-$L$88-$L$90)&gt;0,$M$76-$M$80-$L$80-$B$82-$B$83-$B$84-$B$85-$B$86,0)</f>
        <v>0</v>
      </c>
    </row>
    <row r="147" spans="1:19" hidden="1" x14ac:dyDescent="0.25">
      <c r="A147" s="100" t="s">
        <v>128</v>
      </c>
      <c r="B147" s="101">
        <f>IF(($B$77-$B$80-$B$82-$B$83-$B$84-$B$85-$B$86)&gt;0, $B$77-$B$80-$B$82-$B$83-$B$84-$B$85-$B$86,0)</f>
        <v>0</v>
      </c>
      <c r="C147" s="101">
        <f>IF(($C$77-$C$80-$C$82-$C$83-$C$84-$C$85-$C$86-$B$88-$B$90)&gt;0, $C$77-$C$80-$C$82-$C$83-$C$84-$C$85-$C$86-$B$88-$B$90,0)</f>
        <v>0</v>
      </c>
      <c r="D147" s="101">
        <f>IF(($D$77-$D$80-$D$82-$D$83-$D$84-$D$85-$D$86-$C$88-$C$90)&gt;0, $D$77-$D$80-$D$82-$D$83-$D$84-$D$85-$D$86-$C$88-$C$90,0)</f>
        <v>0</v>
      </c>
      <c r="E147" s="101">
        <f>IF(($E$77-$E$80-$E$82-$E$83-$E$84-$E$85-$E$86-$D$88-$D$90)&gt;0, $E$77-$E$80-$E$82-$E$83-$E$84-$E$85-$E$86-$D$88-$D$90,0)</f>
        <v>0</v>
      </c>
      <c r="F147" s="101">
        <f>IF(($F$77-$F$80-$F$82-$F$83-$F$84-$F$85-$F$86-$E$88-$E$90)&gt;0, $F$77-$F$80-$F$82-$F$83-$F$84-$F$85-$F$86-$E$88-$E$90,0)</f>
        <v>0</v>
      </c>
      <c r="G147" s="101">
        <f>IF(($G$77-$G$80-$G$82-$G$83-$G$84-$G$85-$G$86-$F$88-$F$90)&gt;0, $G$77-$G$80-$G$82-$G$83-$G$84-$G$85-$G$86-$F$88-$F$90,0)</f>
        <v>0</v>
      </c>
      <c r="H147" s="101">
        <f>IF(($H$77-$H$80-$H$82-$H$83-$H$84-$H$85-$H$86-$G$88-$G$90)&gt;0, $H$77-$H$80-$H$82-$H$83-$H$84-$H$85-$H$86-$G$88-$G$90,0)</f>
        <v>0</v>
      </c>
      <c r="I147" s="101">
        <f>IF(($I$77-$I$80-$I$82-$I$83-$I$84-$I$85-$I$86-$H$88-$H$90)&gt;0, $I$77-$I$80-$I$82-$I$83-$I$84-$I$85-$I$86-$H$88-$H$90,0)</f>
        <v>0</v>
      </c>
      <c r="J147" s="101">
        <f>IF(($J$77-$J$80-$J$82-$J$83-$J$84-$J$85-$J$86-$I$88-$I$90)&gt;0, $J$77-$J$80-$J$82-$J$83-$J$84-$J$85-$J$86-$I$88-$I$90,0)</f>
        <v>0</v>
      </c>
      <c r="K147" s="101">
        <f>IF(($K$77-$K$80-$K$82-$K$83-$K$84-$K$85-$K$86-$J$88-$J$90)&gt;0, $K$77-$K$80-$K$82-$K$83-$K$84-$K$85-$K$86-$J$88-$J$90,0)</f>
        <v>0</v>
      </c>
      <c r="L147" s="101">
        <f>IF(($L$77-$L$80-$L$82-$L$83-$L$84-$L$85-$L$86-$K$88-$K$90)&gt;0, $L$77-$L$80-$L$82-$L$83-$L$84-$L$85-$L$86-$K$88-$K$90,0)</f>
        <v>0</v>
      </c>
      <c r="M147" s="101">
        <f>IF(($M$77-$M$80-$M$82-$M$83-$M$84-$M$85-$M$86-$L$88-$L$90)&gt;0, $M$77-$M$80-$M$82-$M$83-$M$84-$M$85-$M$86-$L$88-$L$90,0)</f>
        <v>0</v>
      </c>
    </row>
    <row r="148" spans="1:19" hidden="1" x14ac:dyDescent="0.25">
      <c r="A148" s="103" t="s">
        <v>139</v>
      </c>
      <c r="B148" s="101">
        <f>MIN($B$146,$B$147)</f>
        <v>0</v>
      </c>
      <c r="C148" s="101">
        <f>MIN($C$146,$C$147)</f>
        <v>0</v>
      </c>
      <c r="D148" s="101">
        <f>MIN($D$146,$D$147)</f>
        <v>0</v>
      </c>
      <c r="E148" s="101">
        <f>MIN($E$146,$E$147)</f>
        <v>0</v>
      </c>
      <c r="F148" s="101">
        <f>MIN($F$146,$F$147)</f>
        <v>0</v>
      </c>
      <c r="G148" s="101">
        <f>MIN($G$146,$G$147)</f>
        <v>0</v>
      </c>
      <c r="H148" s="101">
        <f>MIN($H$146,$H$147)</f>
        <v>0</v>
      </c>
      <c r="I148" s="101">
        <f>MIN($I$146,$I$147)</f>
        <v>0</v>
      </c>
      <c r="J148" s="101">
        <f>MIN($J$146,$J$147)</f>
        <v>0</v>
      </c>
      <c r="K148" s="101">
        <f>MIN($K$146,$K$147)</f>
        <v>0</v>
      </c>
      <c r="L148" s="101">
        <f>MIN($L$146,$L$147)</f>
        <v>0</v>
      </c>
      <c r="M148" s="101">
        <f>MIN($M$146,$M$147)</f>
        <v>0</v>
      </c>
    </row>
    <row r="149" spans="1:19" ht="15" hidden="1" customHeight="1" x14ac:dyDescent="0.25">
      <c r="A149" s="19" t="s">
        <v>126</v>
      </c>
    </row>
    <row r="150" spans="1:19" ht="15" hidden="1" customHeight="1" x14ac:dyDescent="0.25">
      <c r="A150" s="56" t="s">
        <v>114</v>
      </c>
      <c r="B150" s="57">
        <f>IF($B$42&lt;=808124.1,$B$13+$B$34,0)</f>
        <v>0</v>
      </c>
      <c r="C150" s="57">
        <f>IF($C$42&lt;=808124.1,$C$13+$C$34,0)</f>
        <v>0</v>
      </c>
      <c r="D150" s="57">
        <f>IF($D$42&lt;=808124.1,$D$13+$D$34,0)</f>
        <v>0</v>
      </c>
      <c r="E150" s="57">
        <f>IF($E$42&lt;=808124.1,$E$13+$E$34,0)</f>
        <v>0</v>
      </c>
      <c r="F150" s="57">
        <f>IF($F$42&lt;=808124.1,$F$13+$F$34,0)</f>
        <v>0</v>
      </c>
      <c r="G150" s="57">
        <f>IF($G$42&lt;=808124.1,$G$13+$G$34,0)</f>
        <v>0</v>
      </c>
      <c r="H150" s="57">
        <f>IF($H$42&lt;=808124.1,$H$13+$H$34,0)</f>
        <v>0</v>
      </c>
      <c r="I150" s="57">
        <f>IF($I$42&lt;=808124.1,$I$13+$I$34,0)</f>
        <v>0</v>
      </c>
      <c r="J150" s="57">
        <f>IF($J$42&lt;=808124.1,$J$13+$J$34,0)</f>
        <v>0</v>
      </c>
      <c r="K150" s="57">
        <f>IF($K$42&lt;=808124.1,$K$13+$K$34,0)</f>
        <v>0</v>
      </c>
      <c r="L150" s="57">
        <f>IF($L$42&lt;=808124.1,$L$13+$L$34,0)</f>
        <v>0</v>
      </c>
      <c r="M150" s="57">
        <f>IF($M$42&lt;=808124.1,$M$13+$M$34,0)</f>
        <v>0</v>
      </c>
      <c r="N150" s="51"/>
      <c r="O150" s="4"/>
      <c r="P150" s="4"/>
      <c r="Q150" s="4"/>
      <c r="R150" s="4"/>
      <c r="S150" s="4"/>
    </row>
    <row r="151" spans="1:19" ht="15" hidden="1" customHeight="1" x14ac:dyDescent="0.25">
      <c r="A151" s="56" t="s">
        <v>115</v>
      </c>
      <c r="B151" s="57">
        <f>IF($B$150&gt;180673.27,180673.27,$B$150)</f>
        <v>0</v>
      </c>
      <c r="C151" s="57">
        <f>IF($B$150+$C$150&gt;180673.27,180673.27-$B$151,$C$150)</f>
        <v>0</v>
      </c>
      <c r="D151" s="57">
        <f>IF($B$150+$C$150+$D$150&gt;180673.27,180673.27-$C$151-$B$151,$D$150)</f>
        <v>0</v>
      </c>
      <c r="E151" s="57">
        <f>IF($B$150+$C$150+$D$150+$E$150&gt;180673.27,180673.27-$D$151-$C$151-$B$151,$E$150)</f>
        <v>0</v>
      </c>
      <c r="F151" s="57">
        <f>IF($B$150+$C$150+$D$150+$E$150+$F$150&gt;180673.27,180673.27-$B$151-$E$151-$D$151-$C$151,$F$150)</f>
        <v>0</v>
      </c>
      <c r="G151" s="57">
        <f>IF($B$150+$C$150+$D$150+$E$150+$F$150+$G$150&gt;180673.27,180673.27-$B$151-$C$151-$F$151-$E$151-$D$151,$G$150)</f>
        <v>0</v>
      </c>
      <c r="H151" s="57">
        <f>IF($B$150+$C$150+$D$150+$E$150+$F$150+$G$150+$H$150&gt;180673.27,180673.27-$B$151-$C$151-$D$151-$G$151-$F$151-$E$151,$H$150)</f>
        <v>0</v>
      </c>
      <c r="I151" s="57">
        <f>IF($B$150+$C$150+$D$150+$E$150+$F$150+$G$150+$H$150+$I$150&gt;180673.27,180673.27-$B$151-$C$151-$D$151-$E$151-$H$151-$G$151-$F$151,$I$150)</f>
        <v>0</v>
      </c>
      <c r="J151" s="57">
        <f>IF($B$150+$C$150+$D$150+$E$150+$F$150+$G$150+$H$150+$I$150+$J$150&gt;180673.27,180673.27-$B$151-$C$151-$D$151-$E$151-$F$151-$I$151-$H$151-$G$151,$J$150)</f>
        <v>0</v>
      </c>
      <c r="K151" s="57">
        <f>IF($B$150+$C$150+$D$150+$E$150+$F$150+$G$150+$H$150+$I$150+$J$150+$K$150&gt;180673.27,180673.27-$B$151-$C$151-$D$151-$E$151-$F$151-$G$151-$J$151-$I$151-$H$151,$K$150)</f>
        <v>0</v>
      </c>
      <c r="L151" s="57">
        <f>IF($B$150+$C$150+$D$150+$E$150+$F$150+$G$150+$H$150+$I$150+$J$150+$K$150+$L$150&gt;180673.27,180673.27-$B$151-$C$151-$D$151-$E$151-$F$151-$G$151-$H$151-$K$151-$J$151-$I$151,$L$150)</f>
        <v>0</v>
      </c>
      <c r="M151" s="57">
        <f>IF($B$150+$C$150+$D$150+$E$150+$F$150+$G$150+$H$150+$I$150+$J$150+$K$150+$L$150+$M$150&gt;180673.27,180673.27-$B$151-$C$151-$D$151-$E$151-$F$151-$G$151-$H$151-$I$151-$L$151-$K$151-$J$151,$M$150)</f>
        <v>0</v>
      </c>
      <c r="N151" s="51"/>
      <c r="O151" s="4"/>
      <c r="P151" s="4"/>
      <c r="Q151" s="4"/>
      <c r="R151" s="4"/>
      <c r="S151" s="4"/>
    </row>
    <row r="152" spans="1:19" ht="15" hidden="1" customHeight="1" x14ac:dyDescent="0.25">
      <c r="A152" s="56" t="s">
        <v>116</v>
      </c>
      <c r="B152" s="57">
        <f>+$B$150-$B$151</f>
        <v>0</v>
      </c>
      <c r="C152" s="57">
        <f>+$C$150-$C$151</f>
        <v>0</v>
      </c>
      <c r="D152" s="57">
        <f>+$D$150-$D$151</f>
        <v>0</v>
      </c>
      <c r="E152" s="57">
        <f>+$E$150-$E$151</f>
        <v>0</v>
      </c>
      <c r="F152" s="57">
        <f>+$F$150-$F$151</f>
        <v>0</v>
      </c>
      <c r="G152" s="57">
        <f>+$G$150-$G$151</f>
        <v>0</v>
      </c>
      <c r="H152" s="57">
        <f>+$H$150-$H$151</f>
        <v>0</v>
      </c>
      <c r="I152" s="57">
        <f>+$I$150-$I$151</f>
        <v>0</v>
      </c>
      <c r="J152" s="57">
        <f>+$J$150-$J$151</f>
        <v>0</v>
      </c>
      <c r="K152" s="57">
        <f>+$K$150-$K$151</f>
        <v>0</v>
      </c>
      <c r="L152" s="57">
        <f>+$L$150-$L$151</f>
        <v>0</v>
      </c>
      <c r="M152" s="57">
        <f>+$M$150-$M$151</f>
        <v>0</v>
      </c>
      <c r="N152" s="51"/>
      <c r="O152" s="4"/>
      <c r="P152" s="4"/>
      <c r="Q152" s="4"/>
      <c r="R152" s="4"/>
      <c r="S152" s="4"/>
    </row>
    <row r="153" spans="1:19" ht="15" hidden="1" customHeight="1" x14ac:dyDescent="0.25">
      <c r="A153" s="56" t="s">
        <v>117</v>
      </c>
      <c r="B153" s="57">
        <f>IF($B$42&gt;808124.1,($B$13+$B$34),0)</f>
        <v>0</v>
      </c>
      <c r="C153" s="57">
        <f>IF($C$42&gt;808124.1,($C$13+$C$34),0)</f>
        <v>0</v>
      </c>
      <c r="D153" s="57">
        <f>IF($D$42&gt;808124.1,($D$13+$D$34),0)</f>
        <v>0</v>
      </c>
      <c r="E153" s="57">
        <f>IF($E$42&gt;808124.1,($E$13+$E$34),0)</f>
        <v>0</v>
      </c>
      <c r="F153" s="57">
        <f>IF($F$42&gt;808124.1,($F$13+$F$34),0)</f>
        <v>0</v>
      </c>
      <c r="G153" s="57">
        <f>IF($G$42&gt;808124.1,($G$13+$G$34),0)</f>
        <v>0</v>
      </c>
      <c r="H153" s="57">
        <f>IF($H$42&gt;808124.1,($H$13+$H$34),0)</f>
        <v>0</v>
      </c>
      <c r="I153" s="57">
        <f>IF($I$42&gt;808124.1,($I$13+$I$34),0)</f>
        <v>0</v>
      </c>
      <c r="J153" s="57">
        <f>IF($J$42&gt;808124.1,($J$13+$J$34),0)</f>
        <v>0</v>
      </c>
      <c r="K153" s="57">
        <f>IF($K$42&gt;808124.1,($K$13+$K$34),0)</f>
        <v>0</v>
      </c>
      <c r="L153" s="57">
        <f>IF($L$42&gt;808124.1,($L$13+$L$34),0)</f>
        <v>0</v>
      </c>
      <c r="M153" s="57">
        <f>IF($M$42&gt;808124.1,($M$13+$M$34),0)</f>
        <v>0</v>
      </c>
      <c r="N153" s="51"/>
      <c r="O153" s="4"/>
      <c r="P153" s="4"/>
      <c r="Q153" s="4"/>
      <c r="R153" s="4"/>
      <c r="S153" s="4"/>
    </row>
    <row r="154" spans="1:19" ht="15" hidden="1" customHeight="1" x14ac:dyDescent="0.25">
      <c r="A154" s="8" t="s">
        <v>119</v>
      </c>
      <c r="B154" s="4">
        <f>+$B$13</f>
        <v>0</v>
      </c>
      <c r="C154" s="4">
        <f>+$C$13</f>
        <v>0</v>
      </c>
      <c r="D154" s="4">
        <f>+$D$13</f>
        <v>0</v>
      </c>
      <c r="E154" s="4">
        <f>+$E$13</f>
        <v>0</v>
      </c>
      <c r="F154" s="4">
        <f>+$F$13</f>
        <v>0</v>
      </c>
      <c r="G154" s="4">
        <f>+$G$13</f>
        <v>0</v>
      </c>
      <c r="H154" s="4">
        <f>+$H$13</f>
        <v>0</v>
      </c>
      <c r="I154" s="4">
        <f>+$I$13</f>
        <v>0</v>
      </c>
      <c r="J154" s="4">
        <f>+$J$13</f>
        <v>0</v>
      </c>
      <c r="K154" s="4">
        <f>+$K$13</f>
        <v>0</v>
      </c>
      <c r="L154" s="4">
        <f>+$L$13</f>
        <v>0</v>
      </c>
      <c r="M154" s="4">
        <f>+$M$13</f>
        <v>0</v>
      </c>
      <c r="N154" s="51"/>
      <c r="O154" s="4"/>
      <c r="P154" s="4"/>
      <c r="Q154" s="4"/>
      <c r="R154" s="4"/>
      <c r="S154" s="4"/>
    </row>
    <row r="155" spans="1:19" ht="15" hidden="1" customHeight="1" x14ac:dyDescent="0.25">
      <c r="A155" s="8" t="s">
        <v>120</v>
      </c>
      <c r="B155" s="4">
        <f>+$B$34</f>
        <v>0</v>
      </c>
      <c r="C155" s="4">
        <f>+$C$34</f>
        <v>0</v>
      </c>
      <c r="D155" s="4">
        <f>+$D$34</f>
        <v>0</v>
      </c>
      <c r="E155" s="4">
        <f>+$E$34</f>
        <v>0</v>
      </c>
      <c r="F155" s="4">
        <f>+$F$34</f>
        <v>0</v>
      </c>
      <c r="G155" s="4">
        <f>+$G$34</f>
        <v>0</v>
      </c>
      <c r="H155" s="4">
        <f>+$H$34</f>
        <v>0</v>
      </c>
      <c r="I155" s="4">
        <f>+$I$34</f>
        <v>0</v>
      </c>
      <c r="J155" s="4">
        <f>+$J$34</f>
        <v>0</v>
      </c>
      <c r="K155" s="4">
        <f>+$K$34</f>
        <v>0</v>
      </c>
      <c r="L155" s="4">
        <f>+$L$34</f>
        <v>0</v>
      </c>
      <c r="M155" s="4">
        <f>+$M$34</f>
        <v>0</v>
      </c>
      <c r="N155" s="51"/>
      <c r="O155" s="4"/>
      <c r="P155" s="4"/>
      <c r="Q155" s="4"/>
      <c r="R155" s="4"/>
      <c r="S155" s="4"/>
    </row>
    <row r="156" spans="1:19" ht="15" hidden="1" customHeight="1" x14ac:dyDescent="0.25">
      <c r="A156" s="56" t="s">
        <v>121</v>
      </c>
      <c r="B156" s="12">
        <f>SUM($B$154:$B$155)</f>
        <v>0</v>
      </c>
      <c r="C156" s="12">
        <f>SUM($C$154:$C$155)</f>
        <v>0</v>
      </c>
      <c r="D156" s="12">
        <f>SUM($D$154:$D$155)</f>
        <v>0</v>
      </c>
      <c r="E156" s="12">
        <f>SUM($E$154:$E$155)</f>
        <v>0</v>
      </c>
      <c r="F156" s="12">
        <f>SUM($F$154:$F$155)</f>
        <v>0</v>
      </c>
      <c r="G156" s="12">
        <f>SUM($G$154:$G$155)</f>
        <v>0</v>
      </c>
      <c r="H156" s="12">
        <f>SUM($H$154:$H$155)</f>
        <v>0</v>
      </c>
      <c r="I156" s="12">
        <f>SUM($I$154:$I$155)</f>
        <v>0</v>
      </c>
      <c r="J156" s="12">
        <f>SUM($J$154:$J$155)</f>
        <v>0</v>
      </c>
      <c r="K156" s="12">
        <f>SUM($K$154:$K$155)</f>
        <v>0</v>
      </c>
      <c r="L156" s="12">
        <f>SUM($L$154:$L$155)</f>
        <v>0</v>
      </c>
      <c r="M156" s="12">
        <f>SUM($M$154:$M$155)</f>
        <v>0</v>
      </c>
      <c r="N156" s="51"/>
      <c r="O156" s="4"/>
      <c r="P156" s="4"/>
      <c r="Q156" s="4"/>
      <c r="R156" s="4"/>
      <c r="S156" s="4"/>
    </row>
    <row r="157" spans="1:19" ht="15" hidden="1" customHeight="1" x14ac:dyDescent="0.25">
      <c r="A157" s="8" t="s">
        <v>122</v>
      </c>
      <c r="B157" s="58">
        <f>IF($B$154&gt;0, $B$154/$B$156,0)</f>
        <v>0</v>
      </c>
      <c r="C157" s="58">
        <f>IF($C$154&gt;0, $C$154/$C$156,0)</f>
        <v>0</v>
      </c>
      <c r="D157" s="58">
        <f>IF($D$154&gt;0, $D$154/$D$156,0)</f>
        <v>0</v>
      </c>
      <c r="E157" s="58">
        <f>IF($E$154&gt;0, $E$154/$E$156,0)</f>
        <v>0</v>
      </c>
      <c r="F157" s="58">
        <f>IF($F$154&gt;0, $F$154/$F$156,0)</f>
        <v>0</v>
      </c>
      <c r="G157" s="58">
        <f>IF($G$154&gt;0, $G$154/$G$156,0)</f>
        <v>0</v>
      </c>
      <c r="H157" s="58">
        <f>IF($H$154&gt;0, $H$154/$H$156,0)</f>
        <v>0</v>
      </c>
      <c r="I157" s="58">
        <f>IF($I$154&gt;0, $I$154/$I$156,0)</f>
        <v>0</v>
      </c>
      <c r="J157" s="58">
        <f>IF($J$154&gt;0, $J$154/$J$156,0)</f>
        <v>0</v>
      </c>
      <c r="K157" s="58">
        <f>IF($K$154&gt;0, $K$154/$K$156,0)</f>
        <v>0</v>
      </c>
      <c r="L157" s="58">
        <f>IF($L$154&gt;0, $L$154/$L$156,0)</f>
        <v>0</v>
      </c>
      <c r="M157" s="58">
        <f>IF($M$154&gt;0, $M$154/$M$156,0)</f>
        <v>0</v>
      </c>
      <c r="N157" s="51"/>
      <c r="O157" s="7"/>
      <c r="P157" s="12"/>
      <c r="Q157" s="4"/>
      <c r="R157" s="4"/>
      <c r="S157" s="4"/>
    </row>
    <row r="158" spans="1:19" ht="15" hidden="1" customHeight="1" x14ac:dyDescent="0.25">
      <c r="A158" s="8" t="s">
        <v>123</v>
      </c>
      <c r="B158" s="58">
        <f>IF($B$155&gt;0,+$B$155/$B$156,0)</f>
        <v>0</v>
      </c>
      <c r="C158" s="58">
        <f>IF($C$155&gt;0,+$C$155/$C$156,0)</f>
        <v>0</v>
      </c>
      <c r="D158" s="58">
        <f>IF($D$155&gt;0,+$D$155/$D$156,0)</f>
        <v>0</v>
      </c>
      <c r="E158" s="58">
        <f>IF($E$155&gt;0,+$E$155/$E$156,0)</f>
        <v>0</v>
      </c>
      <c r="F158" s="58">
        <f>IF($F$155&gt;0,+$F$155/$F$156,0)</f>
        <v>0</v>
      </c>
      <c r="G158" s="58">
        <f>IF($G$155&gt;0,+$G$155/$G$156,0)</f>
        <v>0</v>
      </c>
      <c r="H158" s="58">
        <f>IF($H$155&gt;0,+$H$155/$H$156,0)</f>
        <v>0</v>
      </c>
      <c r="I158" s="58">
        <f>IF($I$155&gt;0,+$I$155/$I$156,0)</f>
        <v>0</v>
      </c>
      <c r="J158" s="58">
        <f>IF($J$155&gt;0,+$J$155/$J$156,0)</f>
        <v>0</v>
      </c>
      <c r="K158" s="58">
        <f>IF($K$155&gt;0,+$K$155/$K$156,0)</f>
        <v>0</v>
      </c>
      <c r="L158" s="58">
        <f>IF($L$155&gt;0,+$L$155/$L$156,0)</f>
        <v>0</v>
      </c>
      <c r="M158" s="58">
        <f>IF($M$155&gt;0,+$M$155/$M$156,0)</f>
        <v>0</v>
      </c>
      <c r="N158" s="51"/>
      <c r="O158" s="7"/>
      <c r="P158" s="12"/>
      <c r="Q158" s="4"/>
      <c r="R158" s="4"/>
      <c r="S158" s="4"/>
    </row>
    <row r="159" spans="1:19" ht="15" hidden="1" customHeight="1" x14ac:dyDescent="0.25">
      <c r="A159" s="56" t="s">
        <v>118</v>
      </c>
      <c r="B159" s="59">
        <f>+$B$152+$B$153</f>
        <v>0</v>
      </c>
      <c r="C159" s="59">
        <f>+$C$152+$C$153</f>
        <v>0</v>
      </c>
      <c r="D159" s="59">
        <f>+$D$152+$D$153</f>
        <v>0</v>
      </c>
      <c r="E159" s="59">
        <f>+$E$152+$E$153</f>
        <v>0</v>
      </c>
      <c r="F159" s="59">
        <f>+$F$152+$F$153</f>
        <v>0</v>
      </c>
      <c r="G159" s="59">
        <f>+$G$152+$G$153</f>
        <v>0</v>
      </c>
      <c r="H159" s="59">
        <f>+$H$152+$H$153</f>
        <v>0</v>
      </c>
      <c r="I159" s="59">
        <f>+$I$152+$I$153</f>
        <v>0</v>
      </c>
      <c r="J159" s="59">
        <f>+$J$152+$J$153</f>
        <v>0</v>
      </c>
      <c r="K159" s="59">
        <f>+$K$152+$K$153</f>
        <v>0</v>
      </c>
      <c r="L159" s="59">
        <f>+$L$152+$L$153</f>
        <v>0</v>
      </c>
      <c r="M159" s="59">
        <f>+$M$152+$M$153</f>
        <v>0</v>
      </c>
      <c r="N159" s="51"/>
      <c r="O159" s="7"/>
      <c r="P159" s="12"/>
      <c r="Q159" s="4"/>
      <c r="R159" s="4"/>
      <c r="S159" s="4"/>
    </row>
    <row r="160" spans="1:19" ht="15" hidden="1" customHeight="1" x14ac:dyDescent="0.25">
      <c r="A160" s="8" t="s">
        <v>124</v>
      </c>
      <c r="B160" s="58">
        <f>+$B$159*$B$157</f>
        <v>0</v>
      </c>
      <c r="C160" s="58">
        <f>+$C$159*$C$157</f>
        <v>0</v>
      </c>
      <c r="D160" s="58">
        <f>+$D$159*$D$157</f>
        <v>0</v>
      </c>
      <c r="E160" s="58">
        <f>+$E$159*$E$157</f>
        <v>0</v>
      </c>
      <c r="F160" s="58">
        <f>+$F$159*$F$157</f>
        <v>0</v>
      </c>
      <c r="G160" s="58">
        <f>+$G$159*$G$157</f>
        <v>0</v>
      </c>
      <c r="H160" s="58">
        <f>+$H$159*$H$157</f>
        <v>0</v>
      </c>
      <c r="I160" s="58">
        <f>+$I$159*$I$157</f>
        <v>0</v>
      </c>
      <c r="J160" s="58">
        <f>+$J$159*$J$157</f>
        <v>0</v>
      </c>
      <c r="K160" s="58">
        <f>+$K$159*$K$157</f>
        <v>0</v>
      </c>
      <c r="L160" s="58">
        <f>+$L$159*$L$157</f>
        <v>0</v>
      </c>
      <c r="M160" s="58">
        <f>+$M$159*$M$157</f>
        <v>0</v>
      </c>
      <c r="N160" s="51"/>
      <c r="O160" s="7"/>
      <c r="P160" s="12"/>
      <c r="Q160" s="4"/>
      <c r="R160" s="4"/>
      <c r="S160" s="4"/>
    </row>
    <row r="161" spans="1:19" ht="15" hidden="1" customHeight="1" x14ac:dyDescent="0.25">
      <c r="A161" s="8" t="s">
        <v>125</v>
      </c>
      <c r="B161" s="58">
        <f>+$B$159*$B$158</f>
        <v>0</v>
      </c>
      <c r="C161" s="58">
        <f>+$C$159*$C$158</f>
        <v>0</v>
      </c>
      <c r="D161" s="58">
        <f>+$D$159*$D$158</f>
        <v>0</v>
      </c>
      <c r="E161" s="58">
        <f>+$E$159*$E$158</f>
        <v>0</v>
      </c>
      <c r="F161" s="58">
        <f>+$F$159*$F$158</f>
        <v>0</v>
      </c>
      <c r="G161" s="58">
        <f>+$G$159*$G$158</f>
        <v>0</v>
      </c>
      <c r="H161" s="58">
        <f>+$H$159*$H$158</f>
        <v>0</v>
      </c>
      <c r="I161" s="58">
        <f>+$I$159*$I$158</f>
        <v>0</v>
      </c>
      <c r="J161" s="58">
        <f>+$J$159*$J$158</f>
        <v>0</v>
      </c>
      <c r="K161" s="58">
        <f>+$K$159*$K$158</f>
        <v>0</v>
      </c>
      <c r="L161" s="58">
        <f>+$L$159*$L$158</f>
        <v>0</v>
      </c>
      <c r="M161" s="58">
        <f>+$M$159*$M$158</f>
        <v>0</v>
      </c>
      <c r="N161" s="51"/>
      <c r="O161" s="4"/>
      <c r="P161" s="4"/>
      <c r="Q161" s="4"/>
      <c r="R161" s="4"/>
      <c r="S161" s="4"/>
    </row>
    <row r="163" spans="1:19" x14ac:dyDescent="0.25">
      <c r="A163" s="3" t="s">
        <v>130</v>
      </c>
      <c r="B163" s="7" t="s">
        <v>134</v>
      </c>
    </row>
    <row r="164" spans="1:19" x14ac:dyDescent="0.25">
      <c r="A164" s="8" t="s">
        <v>131</v>
      </c>
      <c r="B164" s="94">
        <v>11</v>
      </c>
      <c r="C164" s="93">
        <f>+B164/100</f>
        <v>0.11</v>
      </c>
    </row>
    <row r="165" spans="1:19" x14ac:dyDescent="0.25">
      <c r="A165" s="8" t="s">
        <v>132</v>
      </c>
      <c r="B165" s="94">
        <v>3</v>
      </c>
      <c r="C165" s="93">
        <f>+B165/100</f>
        <v>0.03</v>
      </c>
    </row>
    <row r="166" spans="1:19" x14ac:dyDescent="0.25">
      <c r="A166" s="8" t="s">
        <v>133</v>
      </c>
      <c r="B166" s="94">
        <v>3</v>
      </c>
      <c r="C166" s="93">
        <f>+B166/100</f>
        <v>0.03</v>
      </c>
    </row>
    <row r="167" spans="1:19" x14ac:dyDescent="0.25">
      <c r="C167">
        <f>1-C164-C165-C166</f>
        <v>0.83</v>
      </c>
    </row>
    <row r="168" spans="1:19" s="96" customFormat="1" x14ac:dyDescent="0.25">
      <c r="A168" s="95"/>
    </row>
  </sheetData>
  <sheetProtection algorithmName="SHA-512" hashValue="ubGFT7r2PGp+oifF+tQJFnhKTvR5CYNKoWkL1sI5TLmpQNn/bxxS3r1DLhQHcQQwmF44wabIFOtyvZb5d+MCgw==" saltValue="Xj+qb5M05Qk60lPr9U0WaA==" spinCount="100000" sheet="1" objects="1" scenarios="1"/>
  <dataConsolidate>
    <dataRefs count="1">
      <dataRef ref="B66" sheet="Planilla de Liquidación"/>
    </dataRefs>
  </dataConsolidate>
  <mergeCells count="1">
    <mergeCell ref="K4:M4"/>
  </mergeCells>
  <phoneticPr fontId="6" type="noConversion"/>
  <dataValidations count="5">
    <dataValidation type="list" allowBlank="1" showInputMessage="1" showErrorMessage="1" sqref="B108">
      <formula1>"0,1"</formula1>
    </dataValidation>
    <dataValidation type="whole" allowBlank="1" showInputMessage="1" showErrorMessage="1" sqref="B164">
      <formula1>0</formula1>
      <formula2>22</formula2>
    </dataValidation>
    <dataValidation type="whole" allowBlank="1" showInputMessage="1" showErrorMessage="1" sqref="B165:B166">
      <formula1>0</formula1>
      <formula2>6</formula2>
    </dataValidation>
    <dataValidation type="whole" allowBlank="1" showInputMessage="1" showErrorMessage="1" sqref="C108 C110:C115 C117:C119">
      <formula1>1</formula1>
      <formula2>12</formula2>
    </dataValidation>
    <dataValidation type="list" allowBlank="1" showInputMessage="1" showErrorMessage="1" sqref="B110:B115 B117:B119">
      <formula1>$B$120:$B$122</formula1>
    </dataValidation>
  </dataValidations>
  <pageMargins left="0.70866141732283472" right="0.70866141732283472" top="0.74803149606299213" bottom="0.74803149606299213" header="0.31496062992125984" footer="0.31496062992125984"/>
  <pageSetup paperSize="5" scale="48" fitToHeight="2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zoomScaleNormal="100" workbookViewId="0">
      <selection activeCell="E2" sqref="E2"/>
    </sheetView>
  </sheetViews>
  <sheetFormatPr baseColWidth="10" defaultColWidth="13.42578125" defaultRowHeight="15" x14ac:dyDescent="0.25"/>
  <cols>
    <col min="1" max="2" width="13.42578125" style="1"/>
    <col min="3" max="3" width="14.5703125" style="1" bestFit="1" customWidth="1"/>
    <col min="4" max="16384" width="13.42578125" style="1"/>
  </cols>
  <sheetData>
    <row r="1" spans="1:15" x14ac:dyDescent="0.25">
      <c r="A1"/>
      <c r="B1"/>
      <c r="C1"/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</row>
    <row r="2" spans="1:15" ht="15.75" thickBot="1" x14ac:dyDescent="0.3">
      <c r="A2" s="152" t="s">
        <v>96</v>
      </c>
      <c r="B2" s="153"/>
      <c r="C2" s="154"/>
      <c r="D2" s="91">
        <f>'Planilla de Liquidación'!B96</f>
        <v>0</v>
      </c>
      <c r="E2" s="91">
        <f>'Planilla de Liquidación'!C96</f>
        <v>0</v>
      </c>
      <c r="F2" s="91">
        <f>'Planilla de Liquidación'!D96</f>
        <v>0</v>
      </c>
      <c r="G2" s="91">
        <f>'Planilla de Liquidación'!E96</f>
        <v>0</v>
      </c>
      <c r="H2" s="91">
        <f>'Planilla de Liquidación'!F96</f>
        <v>0</v>
      </c>
      <c r="I2" s="91">
        <f>'Planilla de Liquidación'!G96</f>
        <v>0</v>
      </c>
      <c r="J2" s="91">
        <f>'Planilla de Liquidación'!H96</f>
        <v>0</v>
      </c>
      <c r="K2" s="91">
        <f>'Planilla de Liquidación'!I96</f>
        <v>0</v>
      </c>
      <c r="L2" s="91">
        <f>'Planilla de Liquidación'!J96</f>
        <v>0</v>
      </c>
      <c r="M2" s="91">
        <f>'Planilla de Liquidación'!K96</f>
        <v>0</v>
      </c>
      <c r="N2" s="91">
        <f>'Planilla de Liquidación'!L96</f>
        <v>0</v>
      </c>
      <c r="O2" s="91">
        <f>'Planilla de Liquidación'!M96</f>
        <v>0</v>
      </c>
    </row>
    <row r="3" spans="1:15" ht="15.75" thickBot="1" x14ac:dyDescent="0.3">
      <c r="A3" s="164" t="s">
        <v>97</v>
      </c>
      <c r="B3" s="165"/>
      <c r="C3" s="166"/>
      <c r="D3" s="91">
        <f>D2-(('Planilla de Liquidación'!B9+'Planilla de Liquidación'!B32)-(('Planilla de Liquidación'!B9+'Planilla de Liquidación'!B32)*0.17))</f>
        <v>0</v>
      </c>
      <c r="E3" s="91">
        <f>E2-(('Planilla de Liquidación'!C9+'Planilla de Liquidación'!C32)-(('Planilla de Liquidación'!C9+'Planilla de Liquidación'!C32)*0.17))</f>
        <v>0</v>
      </c>
      <c r="F3" s="91">
        <f>F2-(('Planilla de Liquidación'!D9+'Planilla de Liquidación'!D32)-(('Planilla de Liquidación'!D9+'Planilla de Liquidación'!D32)*0.17))</f>
        <v>0</v>
      </c>
      <c r="G3" s="91">
        <f>G2-(('Planilla de Liquidación'!E9+'Planilla de Liquidación'!E32)-(('Planilla de Liquidación'!E9+'Planilla de Liquidación'!E32)*0.17))</f>
        <v>0</v>
      </c>
      <c r="H3" s="91">
        <f>H2-(('Planilla de Liquidación'!F9+'Planilla de Liquidación'!F32)-(('Planilla de Liquidación'!F9+'Planilla de Liquidación'!F32)*0.17))</f>
        <v>0</v>
      </c>
      <c r="I3" s="91">
        <f>I2-(('Planilla de Liquidación'!G9+'Planilla de Liquidación'!G32)-(('Planilla de Liquidación'!G9+'Planilla de Liquidación'!G32)*0.17))</f>
        <v>0</v>
      </c>
      <c r="J3" s="91">
        <f>J2-(('Planilla de Liquidación'!H9+'Planilla de Liquidación'!H32)-(('Planilla de Liquidación'!H9+'Planilla de Liquidación'!H32)*0.17))</f>
        <v>0</v>
      </c>
      <c r="K3" s="91">
        <f>K2-(('Planilla de Liquidación'!I9+'Planilla de Liquidación'!I32)-(('Planilla de Liquidación'!I9+'Planilla de Liquidación'!I32)*0.17))</f>
        <v>0</v>
      </c>
      <c r="L3" s="91">
        <f>L2-(('Planilla de Liquidación'!J9+'Planilla de Liquidación'!J32)-(('Planilla de Liquidación'!J9+'Planilla de Liquidación'!J32)*0.17))</f>
        <v>0</v>
      </c>
      <c r="M3" s="91">
        <f>M2-(('Planilla de Liquidación'!K9+'Planilla de Liquidación'!K32)-(('Planilla de Liquidación'!K9+'Planilla de Liquidación'!K32)*0.17))</f>
        <v>0</v>
      </c>
      <c r="N3" s="91">
        <f>N2-(('Planilla de Liquidación'!L9+'Planilla de Liquidación'!L32)-(('Planilla de Liquidación'!L9+'Planilla de Liquidación'!L32)*0.17))</f>
        <v>0</v>
      </c>
      <c r="O3" s="91">
        <f>O2-(('Planilla de Liquidación'!M9+'Planilla de Liquidación'!M32)-(('Planilla de Liquidación'!M9+'Planilla de Liquidación'!M32)*0.17))</f>
        <v>0</v>
      </c>
    </row>
    <row r="4" spans="1:15" ht="15.75" thickBot="1" x14ac:dyDescent="0.3">
      <c r="A4" s="155" t="s">
        <v>98</v>
      </c>
      <c r="B4" s="156"/>
      <c r="C4" s="157"/>
      <c r="D4" s="92">
        <f>IFERROR(LOOKUP(D3,$B$9:$C$17,$D$9:$D$17)+((LOOKUP(D3,$B$9:$C$17,$E$9:$E$17)*(D2-LOOKUP(D3,$B$9:$C$17,$F$9:$F$17)))),0)</f>
        <v>0</v>
      </c>
      <c r="E4" s="92">
        <f>IFERROR(LOOKUP(E3,$B$18:$C$26,$D$18:$D$26)+((LOOKUP(E3,$B$18:$C$26,$E$18:$E$26)*(E2-LOOKUP(E3,$B$18:$C$26,$F$18:$F$26)))),0)</f>
        <v>0</v>
      </c>
      <c r="F4" s="92">
        <f>IFERROR(LOOKUP(F3,$B$27:$C$35,$D$27:$D$35)+((LOOKUP(F3,$B$27:$C$35,$E$27:$E$35)*(F2-LOOKUP(F3,$B$27:$C$35,$F$27:$F$35)))),0)</f>
        <v>0</v>
      </c>
      <c r="G4" s="92">
        <f>IFERROR(LOOKUP(G3,$B$36:$C$44,$D$36:$D$44)+((LOOKUP(G3,$B$36:$C$44,$E$36:$E$44)*(G2-LOOKUP(G3,$B$36:$C$44,$F$36:$F$44)))),0)</f>
        <v>0</v>
      </c>
      <c r="H4" s="92">
        <f>IFERROR(LOOKUP(H3,$B$45:$C$53,$D$45:$D$53)+((LOOKUP(H3,$B$45:$C$53,$E$45:$E$53)*(H2-LOOKUP(H3,$B$45:$C$53,$F$45:$F$53)))),0)</f>
        <v>0</v>
      </c>
      <c r="I4" s="92">
        <f>IFERROR(LOOKUP(I3,$B$54:$C$62,$D$54:$D$62)+((LOOKUP(I3,$B$54:$C$62,$E$54:$E$62)*(I2-LOOKUP(I3,$B$54:$C$62,$F$54:$F$62)))),0)</f>
        <v>0</v>
      </c>
      <c r="J4" s="92">
        <f>IFERROR(LOOKUP(J3,$B$63:$C$71,$D$63:$D$71)+((LOOKUP(J3,$B$63:$C$71,$E$63:$E$71)*(J2-LOOKUP(J3,$B$63:$C$71,$F$63:$F$71)))),0)</f>
        <v>0</v>
      </c>
      <c r="K4" s="92">
        <f>IFERROR(LOOKUP(K3,$B$72:$C$80,$D$72:$D$80)+((LOOKUP(K3,$B$72:$C$80,$E$72:$E$80)*(K2-LOOKUP(K3,$B$72:$C$80,$F$72:$F$80)))),0)</f>
        <v>0</v>
      </c>
      <c r="L4" s="92">
        <f>IFERROR(LOOKUP(L3,$B$81:$C$89,$D$81:$D$89)+((LOOKUP(L3,$B$81:$C$89,$E$81:$E$89)*(L2-LOOKUP(L3,$B$81:$C$89,$F$81:$F$89)))),0)</f>
        <v>0</v>
      </c>
      <c r="M4" s="92">
        <f>IFERROR(LOOKUP(M3,$B$90:$C$98,$D$90:$D$98)+((LOOKUP(M3,$B$90:$C$98,$E$90:$E$98)*(M2-LOOKUP(M3,$B$90:$C$98,$F$90:$F$98)))),0)</f>
        <v>0</v>
      </c>
      <c r="N4" s="92">
        <f>IFERROR(LOOKUP(N3,$B$99:$C$107,$D$99:$D$107)+((LOOKUP(N3,$B$99:$C$107,$E$99:$E$107)*(N2-LOOKUP(N3,$B$99:$C$107,$F$99:$F$107)))),0)</f>
        <v>0</v>
      </c>
      <c r="O4" s="92">
        <f>IFERROR(LOOKUP(O3,$B$108:$C$116,$D$108:$D$116)+((LOOKUP(O3,$B$108:$C$116,$E$108:$E$116)*(O2-LOOKUP(O3,$B$108:$C$116,$F$108:$F$116)))),0)</f>
        <v>0</v>
      </c>
    </row>
    <row r="6" spans="1:15" ht="16.5" customHeight="1" x14ac:dyDescent="0.25">
      <c r="A6" s="161" t="s">
        <v>99</v>
      </c>
      <c r="B6" s="162"/>
      <c r="C6" s="163"/>
      <c r="D6" s="167" t="s">
        <v>100</v>
      </c>
      <c r="E6" s="162"/>
      <c r="F6" s="168"/>
    </row>
    <row r="7" spans="1:15" ht="19.5" customHeight="1" thickBot="1" x14ac:dyDescent="0.3">
      <c r="A7" s="169" t="s">
        <v>101</v>
      </c>
      <c r="B7" s="171" t="s">
        <v>102</v>
      </c>
      <c r="C7" s="172"/>
      <c r="D7" s="173" t="s">
        <v>103</v>
      </c>
      <c r="E7" s="174"/>
      <c r="F7" s="175"/>
    </row>
    <row r="8" spans="1:15" ht="45.75" thickBot="1" x14ac:dyDescent="0.3">
      <c r="A8" s="170"/>
      <c r="B8" s="105" t="s">
        <v>104</v>
      </c>
      <c r="C8" s="105" t="s">
        <v>105</v>
      </c>
      <c r="D8" s="105" t="s">
        <v>106</v>
      </c>
      <c r="E8" s="105" t="s">
        <v>107</v>
      </c>
      <c r="F8" s="106" t="s">
        <v>108</v>
      </c>
      <c r="N8" s="1">
        <v>7048</v>
      </c>
    </row>
    <row r="9" spans="1:15" ht="15.75" thickBot="1" x14ac:dyDescent="0.3">
      <c r="A9" s="158" t="s">
        <v>1</v>
      </c>
      <c r="B9" s="132">
        <v>0</v>
      </c>
      <c r="C9" s="131">
        <v>14486.22</v>
      </c>
      <c r="D9" s="132">
        <v>0</v>
      </c>
      <c r="E9" s="133">
        <v>0.05</v>
      </c>
      <c r="F9" s="134">
        <v>0</v>
      </c>
    </row>
    <row r="10" spans="1:15" ht="15.75" thickBot="1" x14ac:dyDescent="0.3">
      <c r="A10" s="159"/>
      <c r="B10" s="131">
        <v>14486.22</v>
      </c>
      <c r="C10" s="131">
        <v>28972.44</v>
      </c>
      <c r="D10" s="131">
        <v>724.31</v>
      </c>
      <c r="E10" s="135">
        <v>0.09</v>
      </c>
      <c r="F10" s="131">
        <v>14486.22</v>
      </c>
      <c r="G10" s="39"/>
      <c r="H10" s="39"/>
    </row>
    <row r="11" spans="1:15" ht="15.75" thickBot="1" x14ac:dyDescent="0.3">
      <c r="A11" s="159"/>
      <c r="B11" s="131">
        <v>28972.44</v>
      </c>
      <c r="C11" s="131">
        <v>43458.65</v>
      </c>
      <c r="D11" s="131">
        <v>2028.07</v>
      </c>
      <c r="E11" s="135">
        <v>0.12</v>
      </c>
      <c r="F11" s="131">
        <v>28972.44</v>
      </c>
      <c r="G11" s="39"/>
      <c r="H11" s="39"/>
    </row>
    <row r="12" spans="1:15" ht="15.75" thickBot="1" x14ac:dyDescent="0.3">
      <c r="A12" s="159"/>
      <c r="B12" s="131">
        <v>43458.65</v>
      </c>
      <c r="C12" s="131">
        <v>57944.87</v>
      </c>
      <c r="D12" s="131">
        <v>3766.42</v>
      </c>
      <c r="E12" s="135">
        <v>0.15</v>
      </c>
      <c r="F12" s="131">
        <v>43458.65</v>
      </c>
    </row>
    <row r="13" spans="1:15" ht="15.75" thickBot="1" x14ac:dyDescent="0.3">
      <c r="A13" s="159"/>
      <c r="B13" s="131">
        <v>57944.87</v>
      </c>
      <c r="C13" s="131">
        <v>86917.31</v>
      </c>
      <c r="D13" s="131">
        <v>5939.35</v>
      </c>
      <c r="E13" s="135">
        <v>0.19</v>
      </c>
      <c r="F13" s="131">
        <v>57944.87</v>
      </c>
    </row>
    <row r="14" spans="1:15" ht="15.75" thickBot="1" x14ac:dyDescent="0.3">
      <c r="A14" s="159"/>
      <c r="B14" s="131">
        <v>86917.31</v>
      </c>
      <c r="C14" s="131">
        <v>115889.74</v>
      </c>
      <c r="D14" s="131">
        <v>11444.11</v>
      </c>
      <c r="E14" s="135">
        <v>0.23</v>
      </c>
      <c r="F14" s="131">
        <v>86917.31</v>
      </c>
    </row>
    <row r="15" spans="1:15" ht="15.75" thickBot="1" x14ac:dyDescent="0.3">
      <c r="A15" s="159"/>
      <c r="B15" s="131">
        <v>115889.74</v>
      </c>
      <c r="C15" s="131">
        <v>173834.61</v>
      </c>
      <c r="D15" s="131">
        <v>18107.77</v>
      </c>
      <c r="E15" s="135">
        <v>0.27</v>
      </c>
      <c r="F15" s="131">
        <v>115889.74</v>
      </c>
    </row>
    <row r="16" spans="1:15" ht="15.75" thickBot="1" x14ac:dyDescent="0.3">
      <c r="A16" s="159"/>
      <c r="B16" s="131">
        <v>173834.61</v>
      </c>
      <c r="C16" s="131">
        <v>231779.49</v>
      </c>
      <c r="D16" s="131">
        <v>33752.89</v>
      </c>
      <c r="E16" s="135">
        <v>0.31</v>
      </c>
      <c r="F16" s="131">
        <v>173834.61</v>
      </c>
    </row>
    <row r="17" spans="1:6" ht="15.75" thickBot="1" x14ac:dyDescent="0.3">
      <c r="A17" s="160"/>
      <c r="B17" s="131">
        <v>231779.49</v>
      </c>
      <c r="C17" s="137" t="s">
        <v>109</v>
      </c>
      <c r="D17" s="131">
        <v>51715.8</v>
      </c>
      <c r="E17" s="136">
        <v>0.35</v>
      </c>
      <c r="F17" s="131">
        <v>231779.49</v>
      </c>
    </row>
    <row r="18" spans="1:6" ht="15.75" thickBot="1" x14ac:dyDescent="0.3">
      <c r="A18" s="158" t="s">
        <v>2</v>
      </c>
      <c r="B18" s="132">
        <v>0</v>
      </c>
      <c r="C18" s="131">
        <v>28972.43</v>
      </c>
      <c r="D18" s="132">
        <v>0</v>
      </c>
      <c r="E18" s="133">
        <v>0.05</v>
      </c>
      <c r="F18" s="134">
        <v>0</v>
      </c>
    </row>
    <row r="19" spans="1:6" ht="15.75" thickBot="1" x14ac:dyDescent="0.3">
      <c r="A19" s="159"/>
      <c r="B19" s="131">
        <v>28972.43</v>
      </c>
      <c r="C19" s="131">
        <v>57944.87</v>
      </c>
      <c r="D19" s="131">
        <v>1448.62</v>
      </c>
      <c r="E19" s="135">
        <v>0.09</v>
      </c>
      <c r="F19" s="131">
        <v>28972.43</v>
      </c>
    </row>
    <row r="20" spans="1:6" ht="15.75" thickBot="1" x14ac:dyDescent="0.3">
      <c r="A20" s="159"/>
      <c r="B20" s="131">
        <v>57944.87</v>
      </c>
      <c r="C20" s="131">
        <v>86917.31</v>
      </c>
      <c r="D20" s="131">
        <v>4056.14</v>
      </c>
      <c r="E20" s="135">
        <v>0.12</v>
      </c>
      <c r="F20" s="131">
        <v>57944.87</v>
      </c>
    </row>
    <row r="21" spans="1:6" ht="15.75" thickBot="1" x14ac:dyDescent="0.3">
      <c r="A21" s="159"/>
      <c r="B21" s="131">
        <v>86917.31</v>
      </c>
      <c r="C21" s="131">
        <v>115889.74</v>
      </c>
      <c r="D21" s="131">
        <v>7532.83</v>
      </c>
      <c r="E21" s="135">
        <v>0.15</v>
      </c>
      <c r="F21" s="131">
        <v>86917.31</v>
      </c>
    </row>
    <row r="22" spans="1:6" ht="15.75" thickBot="1" x14ac:dyDescent="0.3">
      <c r="A22" s="159"/>
      <c r="B22" s="131">
        <v>115889.74</v>
      </c>
      <c r="C22" s="131">
        <v>173834.61</v>
      </c>
      <c r="D22" s="131">
        <v>11878.7</v>
      </c>
      <c r="E22" s="135">
        <v>0.19</v>
      </c>
      <c r="F22" s="131">
        <v>115889.74</v>
      </c>
    </row>
    <row r="23" spans="1:6" ht="15.75" thickBot="1" x14ac:dyDescent="0.3">
      <c r="A23" s="159"/>
      <c r="B23" s="131">
        <v>173834.61</v>
      </c>
      <c r="C23" s="131">
        <v>231779.48</v>
      </c>
      <c r="D23" s="131">
        <v>22888.22</v>
      </c>
      <c r="E23" s="135">
        <v>0.23</v>
      </c>
      <c r="F23" s="131">
        <v>173834.61</v>
      </c>
    </row>
    <row r="24" spans="1:6" ht="15.75" thickBot="1" x14ac:dyDescent="0.3">
      <c r="A24" s="159"/>
      <c r="B24" s="131">
        <v>231779.48</v>
      </c>
      <c r="C24" s="131">
        <v>347669.22</v>
      </c>
      <c r="D24" s="131">
        <v>36215.54</v>
      </c>
      <c r="E24" s="135">
        <v>0.27</v>
      </c>
      <c r="F24" s="131">
        <v>231779.48</v>
      </c>
    </row>
    <row r="25" spans="1:6" ht="15.75" thickBot="1" x14ac:dyDescent="0.3">
      <c r="A25" s="159"/>
      <c r="B25" s="131">
        <v>347669.22</v>
      </c>
      <c r="C25" s="131">
        <v>463558.97</v>
      </c>
      <c r="D25" s="131">
        <v>67505.77</v>
      </c>
      <c r="E25" s="135">
        <v>0.31</v>
      </c>
      <c r="F25" s="131">
        <v>347669.22</v>
      </c>
    </row>
    <row r="26" spans="1:6" ht="15.75" thickBot="1" x14ac:dyDescent="0.3">
      <c r="A26" s="160"/>
      <c r="B26" s="131">
        <v>463558.97</v>
      </c>
      <c r="C26" s="137" t="s">
        <v>109</v>
      </c>
      <c r="D26" s="131">
        <v>103431.6</v>
      </c>
      <c r="E26" s="136">
        <v>0.35</v>
      </c>
      <c r="F26" s="131">
        <v>463558.97</v>
      </c>
    </row>
    <row r="27" spans="1:6" ht="15.75" thickBot="1" x14ac:dyDescent="0.3">
      <c r="A27" s="158" t="s">
        <v>3</v>
      </c>
      <c r="B27" s="132">
        <v>0</v>
      </c>
      <c r="C27" s="131">
        <v>43458.65</v>
      </c>
      <c r="D27" s="132">
        <v>0</v>
      </c>
      <c r="E27" s="133">
        <v>0.05</v>
      </c>
      <c r="F27" s="134">
        <v>0</v>
      </c>
    </row>
    <row r="28" spans="1:6" ht="15.75" thickBot="1" x14ac:dyDescent="0.3">
      <c r="A28" s="159"/>
      <c r="B28" s="131">
        <v>43458.65</v>
      </c>
      <c r="C28" s="131">
        <v>86917.31</v>
      </c>
      <c r="D28" s="131">
        <v>2172.9299999999998</v>
      </c>
      <c r="E28" s="135">
        <v>0.09</v>
      </c>
      <c r="F28" s="131">
        <v>43458.65</v>
      </c>
    </row>
    <row r="29" spans="1:6" ht="15.75" thickBot="1" x14ac:dyDescent="0.3">
      <c r="A29" s="159"/>
      <c r="B29" s="131">
        <v>86917.31</v>
      </c>
      <c r="C29" s="131">
        <v>130375.96</v>
      </c>
      <c r="D29" s="131">
        <v>6084.21</v>
      </c>
      <c r="E29" s="135">
        <v>0.12</v>
      </c>
      <c r="F29" s="131">
        <v>86917.31</v>
      </c>
    </row>
    <row r="30" spans="1:6" ht="15.75" thickBot="1" x14ac:dyDescent="0.3">
      <c r="A30" s="159"/>
      <c r="B30" s="131">
        <v>130375.96</v>
      </c>
      <c r="C30" s="131">
        <v>173834.62</v>
      </c>
      <c r="D30" s="131">
        <v>11299.25</v>
      </c>
      <c r="E30" s="135">
        <v>0.15</v>
      </c>
      <c r="F30" s="131">
        <v>130375.96</v>
      </c>
    </row>
    <row r="31" spans="1:6" ht="15.75" thickBot="1" x14ac:dyDescent="0.3">
      <c r="A31" s="159"/>
      <c r="B31" s="131">
        <v>173834.62</v>
      </c>
      <c r="C31" s="131">
        <v>260751.92</v>
      </c>
      <c r="D31" s="131">
        <v>17818.05</v>
      </c>
      <c r="E31" s="135">
        <v>0.19</v>
      </c>
      <c r="F31" s="131">
        <v>173834.62</v>
      </c>
    </row>
    <row r="32" spans="1:6" ht="15.75" thickBot="1" x14ac:dyDescent="0.3">
      <c r="A32" s="159"/>
      <c r="B32" s="131">
        <v>260751.92</v>
      </c>
      <c r="C32" s="131">
        <v>347669.22</v>
      </c>
      <c r="D32" s="131">
        <v>34332.339999999997</v>
      </c>
      <c r="E32" s="135">
        <v>0.23</v>
      </c>
      <c r="F32" s="131">
        <v>260751.92</v>
      </c>
    </row>
    <row r="33" spans="1:6" ht="15.75" thickBot="1" x14ac:dyDescent="0.3">
      <c r="A33" s="159"/>
      <c r="B33" s="131">
        <v>347669.22</v>
      </c>
      <c r="C33" s="131">
        <v>521503.84</v>
      </c>
      <c r="D33" s="131">
        <v>54323.32</v>
      </c>
      <c r="E33" s="135">
        <v>0.27</v>
      </c>
      <c r="F33" s="131">
        <v>347669.22</v>
      </c>
    </row>
    <row r="34" spans="1:6" ht="15.75" thickBot="1" x14ac:dyDescent="0.3">
      <c r="A34" s="159"/>
      <c r="B34" s="131">
        <v>521503.84</v>
      </c>
      <c r="C34" s="131">
        <v>695338.46</v>
      </c>
      <c r="D34" s="131">
        <v>101258.66</v>
      </c>
      <c r="E34" s="135">
        <v>0.31</v>
      </c>
      <c r="F34" s="131">
        <v>521503.84</v>
      </c>
    </row>
    <row r="35" spans="1:6" ht="15.75" thickBot="1" x14ac:dyDescent="0.3">
      <c r="A35" s="160"/>
      <c r="B35" s="131">
        <v>695338.46</v>
      </c>
      <c r="C35" s="137" t="s">
        <v>109</v>
      </c>
      <c r="D35" s="131">
        <v>155147.4</v>
      </c>
      <c r="E35" s="136">
        <v>0.35</v>
      </c>
      <c r="F35" s="131">
        <v>695338.46</v>
      </c>
    </row>
    <row r="36" spans="1:6" ht="15.75" thickBot="1" x14ac:dyDescent="0.3">
      <c r="A36" s="158" t="s">
        <v>4</v>
      </c>
      <c r="B36" s="132">
        <v>0</v>
      </c>
      <c r="C36" s="131">
        <v>57944.87</v>
      </c>
      <c r="D36" s="132">
        <v>0</v>
      </c>
      <c r="E36" s="133">
        <v>0.05</v>
      </c>
      <c r="F36" s="134">
        <v>0</v>
      </c>
    </row>
    <row r="37" spans="1:6" ht="15.75" customHeight="1" thickBot="1" x14ac:dyDescent="0.3">
      <c r="A37" s="159"/>
      <c r="B37" s="131">
        <v>57944.87</v>
      </c>
      <c r="C37" s="131">
        <v>115889.74</v>
      </c>
      <c r="D37" s="131">
        <v>2897.24</v>
      </c>
      <c r="E37" s="135">
        <v>0.09</v>
      </c>
      <c r="F37" s="131">
        <v>57944.87</v>
      </c>
    </row>
    <row r="38" spans="1:6" ht="15.75" customHeight="1" thickBot="1" x14ac:dyDescent="0.3">
      <c r="A38" s="159"/>
      <c r="B38" s="131">
        <v>115889.74</v>
      </c>
      <c r="C38" s="131">
        <v>173834.61</v>
      </c>
      <c r="D38" s="131">
        <v>8112.28</v>
      </c>
      <c r="E38" s="135">
        <v>0.12</v>
      </c>
      <c r="F38" s="131">
        <v>115889.74</v>
      </c>
    </row>
    <row r="39" spans="1:6" ht="15.75" customHeight="1" thickBot="1" x14ac:dyDescent="0.3">
      <c r="A39" s="159"/>
      <c r="B39" s="131">
        <v>173834.61</v>
      </c>
      <c r="C39" s="131">
        <v>231779.49</v>
      </c>
      <c r="D39" s="131">
        <v>15065.67</v>
      </c>
      <c r="E39" s="135">
        <v>0.15</v>
      </c>
      <c r="F39" s="131">
        <v>173834.61</v>
      </c>
    </row>
    <row r="40" spans="1:6" ht="15.75" customHeight="1" thickBot="1" x14ac:dyDescent="0.3">
      <c r="A40" s="159"/>
      <c r="B40" s="131">
        <v>231779.49</v>
      </c>
      <c r="C40" s="131">
        <v>347669.23</v>
      </c>
      <c r="D40" s="131">
        <v>23757.4</v>
      </c>
      <c r="E40" s="135">
        <v>0.19</v>
      </c>
      <c r="F40" s="131">
        <v>231779.49</v>
      </c>
    </row>
    <row r="41" spans="1:6" ht="15.75" customHeight="1" thickBot="1" x14ac:dyDescent="0.3">
      <c r="A41" s="159"/>
      <c r="B41" s="131">
        <v>347669.23</v>
      </c>
      <c r="C41" s="131">
        <v>463558.97</v>
      </c>
      <c r="D41" s="131">
        <v>45776.45</v>
      </c>
      <c r="E41" s="135">
        <v>0.23</v>
      </c>
      <c r="F41" s="131">
        <v>347669.23</v>
      </c>
    </row>
    <row r="42" spans="1:6" ht="15.75" customHeight="1" thickBot="1" x14ac:dyDescent="0.3">
      <c r="A42" s="159"/>
      <c r="B42" s="131">
        <v>463558.97</v>
      </c>
      <c r="C42" s="131">
        <v>695338.45</v>
      </c>
      <c r="D42" s="131">
        <v>72431.09</v>
      </c>
      <c r="E42" s="135">
        <v>0.27</v>
      </c>
      <c r="F42" s="131">
        <v>463558.97</v>
      </c>
    </row>
    <row r="43" spans="1:6" ht="15.75" customHeight="1" thickBot="1" x14ac:dyDescent="0.3">
      <c r="A43" s="159"/>
      <c r="B43" s="131">
        <v>695338.45</v>
      </c>
      <c r="C43" s="131">
        <v>927117.95</v>
      </c>
      <c r="D43" s="131">
        <v>135011.54999999999</v>
      </c>
      <c r="E43" s="135">
        <v>0.31</v>
      </c>
      <c r="F43" s="131">
        <v>695338.45</v>
      </c>
    </row>
    <row r="44" spans="1:6" ht="15.75" customHeight="1" thickBot="1" x14ac:dyDescent="0.3">
      <c r="A44" s="160"/>
      <c r="B44" s="131">
        <v>927117.95</v>
      </c>
      <c r="C44" s="137" t="s">
        <v>109</v>
      </c>
      <c r="D44" s="131">
        <v>206863.19</v>
      </c>
      <c r="E44" s="136">
        <v>0.35</v>
      </c>
      <c r="F44" s="131">
        <v>927117.95</v>
      </c>
    </row>
    <row r="45" spans="1:6" ht="15.75" thickBot="1" x14ac:dyDescent="0.3">
      <c r="A45" s="158" t="s">
        <v>5</v>
      </c>
      <c r="B45" s="132">
        <v>0</v>
      </c>
      <c r="C45" s="131">
        <v>72431.09</v>
      </c>
      <c r="D45" s="132">
        <v>0</v>
      </c>
      <c r="E45" s="133">
        <v>0.05</v>
      </c>
      <c r="F45" s="134">
        <v>0</v>
      </c>
    </row>
    <row r="46" spans="1:6" ht="15.75" thickBot="1" x14ac:dyDescent="0.3">
      <c r="A46" s="159"/>
      <c r="B46" s="131">
        <v>72431.09</v>
      </c>
      <c r="C46" s="131">
        <v>144862.18</v>
      </c>
      <c r="D46" s="131">
        <v>3621.55</v>
      </c>
      <c r="E46" s="135">
        <v>0.09</v>
      </c>
      <c r="F46" s="131">
        <v>72431.09</v>
      </c>
    </row>
    <row r="47" spans="1:6" ht="15.75" thickBot="1" x14ac:dyDescent="0.3">
      <c r="A47" s="159"/>
      <c r="B47" s="131">
        <v>144862.18</v>
      </c>
      <c r="C47" s="131">
        <v>217293.27</v>
      </c>
      <c r="D47" s="131">
        <v>10140.35</v>
      </c>
      <c r="E47" s="135">
        <v>0.12</v>
      </c>
      <c r="F47" s="131">
        <v>144862.18</v>
      </c>
    </row>
    <row r="48" spans="1:6" ht="15.75" thickBot="1" x14ac:dyDescent="0.3">
      <c r="A48" s="159"/>
      <c r="B48" s="131">
        <v>217293.27</v>
      </c>
      <c r="C48" s="131">
        <v>289724.36</v>
      </c>
      <c r="D48" s="131">
        <v>18832.080000000002</v>
      </c>
      <c r="E48" s="135">
        <v>0.15</v>
      </c>
      <c r="F48" s="131">
        <v>217293.27</v>
      </c>
    </row>
    <row r="49" spans="1:6" ht="15.75" thickBot="1" x14ac:dyDescent="0.3">
      <c r="A49" s="159"/>
      <c r="B49" s="131">
        <v>289724.36</v>
      </c>
      <c r="C49" s="131">
        <v>434586.53</v>
      </c>
      <c r="D49" s="131">
        <v>29696.75</v>
      </c>
      <c r="E49" s="135">
        <v>0.19</v>
      </c>
      <c r="F49" s="131">
        <v>289724.36</v>
      </c>
    </row>
    <row r="50" spans="1:6" ht="15.75" thickBot="1" x14ac:dyDescent="0.3">
      <c r="A50" s="159"/>
      <c r="B50" s="131">
        <v>434586.53</v>
      </c>
      <c r="C50" s="131">
        <v>579448.71</v>
      </c>
      <c r="D50" s="131">
        <v>57220.56</v>
      </c>
      <c r="E50" s="135">
        <v>0.23</v>
      </c>
      <c r="F50" s="131">
        <v>434586.53</v>
      </c>
    </row>
    <row r="51" spans="1:6" ht="15.75" thickBot="1" x14ac:dyDescent="0.3">
      <c r="A51" s="159"/>
      <c r="B51" s="131">
        <v>579448.71</v>
      </c>
      <c r="C51" s="131">
        <v>869173.06</v>
      </c>
      <c r="D51" s="131">
        <v>90538.86</v>
      </c>
      <c r="E51" s="135">
        <v>0.27</v>
      </c>
      <c r="F51" s="131">
        <v>579448.71</v>
      </c>
    </row>
    <row r="52" spans="1:6" ht="15.75" thickBot="1" x14ac:dyDescent="0.3">
      <c r="A52" s="159"/>
      <c r="B52" s="131">
        <v>869173.06</v>
      </c>
      <c r="C52" s="131">
        <v>1158897.44</v>
      </c>
      <c r="D52" s="131">
        <v>168764.44</v>
      </c>
      <c r="E52" s="135">
        <v>0.31</v>
      </c>
      <c r="F52" s="131">
        <v>869173.06</v>
      </c>
    </row>
    <row r="53" spans="1:6" ht="15.75" thickBot="1" x14ac:dyDescent="0.3">
      <c r="A53" s="160"/>
      <c r="B53" s="131">
        <v>1158897.44</v>
      </c>
      <c r="C53" s="137" t="s">
        <v>109</v>
      </c>
      <c r="D53" s="131">
        <v>258578.99</v>
      </c>
      <c r="E53" s="136">
        <v>0.35</v>
      </c>
      <c r="F53" s="131">
        <v>1158897.44</v>
      </c>
    </row>
    <row r="54" spans="1:6" ht="15.75" thickBot="1" x14ac:dyDescent="0.3">
      <c r="A54" s="158" t="s">
        <v>6</v>
      </c>
      <c r="B54" s="132">
        <v>0</v>
      </c>
      <c r="C54" s="131">
        <v>86917.3</v>
      </c>
      <c r="D54" s="132">
        <v>0</v>
      </c>
      <c r="E54" s="133">
        <v>0.05</v>
      </c>
      <c r="F54" s="134">
        <v>0</v>
      </c>
    </row>
    <row r="55" spans="1:6" ht="15.75" thickBot="1" x14ac:dyDescent="0.3">
      <c r="A55" s="159"/>
      <c r="B55" s="131">
        <v>86917.3</v>
      </c>
      <c r="C55" s="131">
        <v>173834.62</v>
      </c>
      <c r="D55" s="131">
        <v>4345.87</v>
      </c>
      <c r="E55" s="135">
        <v>0.09</v>
      </c>
      <c r="F55" s="131">
        <v>86917.3</v>
      </c>
    </row>
    <row r="56" spans="1:6" ht="15.75" thickBot="1" x14ac:dyDescent="0.3">
      <c r="A56" s="159"/>
      <c r="B56" s="131">
        <v>173834.62</v>
      </c>
      <c r="C56" s="131">
        <v>260751.92</v>
      </c>
      <c r="D56" s="131">
        <v>12168.42</v>
      </c>
      <c r="E56" s="135">
        <v>0.12</v>
      </c>
      <c r="F56" s="131">
        <v>173834.62</v>
      </c>
    </row>
    <row r="57" spans="1:6" ht="15.75" thickBot="1" x14ac:dyDescent="0.3">
      <c r="A57" s="159"/>
      <c r="B57" s="131">
        <v>260751.92</v>
      </c>
      <c r="C57" s="131">
        <v>347669.23</v>
      </c>
      <c r="D57" s="131">
        <v>22598.5</v>
      </c>
      <c r="E57" s="135">
        <v>0.15</v>
      </c>
      <c r="F57" s="131">
        <v>260751.92</v>
      </c>
    </row>
    <row r="58" spans="1:6" ht="15.75" thickBot="1" x14ac:dyDescent="0.3">
      <c r="A58" s="159"/>
      <c r="B58" s="131">
        <v>347669.23</v>
      </c>
      <c r="C58" s="131">
        <v>521503.84</v>
      </c>
      <c r="D58" s="131">
        <v>35636.1</v>
      </c>
      <c r="E58" s="135">
        <v>0.19</v>
      </c>
      <c r="F58" s="131">
        <v>347669.23</v>
      </c>
    </row>
    <row r="59" spans="1:6" ht="15.75" thickBot="1" x14ac:dyDescent="0.3">
      <c r="A59" s="159"/>
      <c r="B59" s="131">
        <v>521503.84</v>
      </c>
      <c r="C59" s="131">
        <v>695338.45</v>
      </c>
      <c r="D59" s="131">
        <v>68664.67</v>
      </c>
      <c r="E59" s="135">
        <v>0.23</v>
      </c>
      <c r="F59" s="131">
        <v>521503.84</v>
      </c>
    </row>
    <row r="60" spans="1:6" ht="15.75" thickBot="1" x14ac:dyDescent="0.3">
      <c r="A60" s="159"/>
      <c r="B60" s="131">
        <v>695338.45</v>
      </c>
      <c r="C60" s="131">
        <v>1043007.67</v>
      </c>
      <c r="D60" s="131">
        <v>108646.63</v>
      </c>
      <c r="E60" s="135">
        <v>0.27</v>
      </c>
      <c r="F60" s="131">
        <v>695338.45</v>
      </c>
    </row>
    <row r="61" spans="1:6" ht="15.75" thickBot="1" x14ac:dyDescent="0.3">
      <c r="A61" s="159"/>
      <c r="B61" s="131">
        <v>1043007.67</v>
      </c>
      <c r="C61" s="131">
        <v>1390676.92</v>
      </c>
      <c r="D61" s="131">
        <v>202517.32</v>
      </c>
      <c r="E61" s="135">
        <v>0.31</v>
      </c>
      <c r="F61" s="131">
        <v>1043007.67</v>
      </c>
    </row>
    <row r="62" spans="1:6" ht="15.75" thickBot="1" x14ac:dyDescent="0.3">
      <c r="A62" s="160"/>
      <c r="B62" s="131">
        <v>1390676.92</v>
      </c>
      <c r="C62" s="137" t="s">
        <v>109</v>
      </c>
      <c r="D62" s="131">
        <v>310294.78999999998</v>
      </c>
      <c r="E62" s="136">
        <v>0.35</v>
      </c>
      <c r="F62" s="131">
        <v>1390676.92</v>
      </c>
    </row>
    <row r="63" spans="1:6" ht="15.75" thickBot="1" x14ac:dyDescent="0.3">
      <c r="A63" s="158" t="s">
        <v>7</v>
      </c>
      <c r="B63" s="132">
        <v>0</v>
      </c>
      <c r="C63" s="131">
        <v>101403.52</v>
      </c>
      <c r="D63" s="132">
        <v>0</v>
      </c>
      <c r="E63" s="133">
        <v>0.05</v>
      </c>
      <c r="F63" s="134">
        <v>0</v>
      </c>
    </row>
    <row r="64" spans="1:6" ht="15.75" thickBot="1" x14ac:dyDescent="0.3">
      <c r="A64" s="159"/>
      <c r="B64" s="131">
        <v>101403.52</v>
      </c>
      <c r="C64" s="131">
        <v>202807.05</v>
      </c>
      <c r="D64" s="131">
        <v>5070.18</v>
      </c>
      <c r="E64" s="135">
        <v>0.09</v>
      </c>
      <c r="F64" s="131">
        <v>101403.52</v>
      </c>
    </row>
    <row r="65" spans="1:6" ht="15.75" thickBot="1" x14ac:dyDescent="0.3">
      <c r="A65" s="159"/>
      <c r="B65" s="131">
        <v>202807.05</v>
      </c>
      <c r="C65" s="131">
        <v>304210.57</v>
      </c>
      <c r="D65" s="131">
        <v>14196.49</v>
      </c>
      <c r="E65" s="135">
        <v>0.12</v>
      </c>
      <c r="F65" s="131">
        <v>202807.05</v>
      </c>
    </row>
    <row r="66" spans="1:6" ht="15.75" thickBot="1" x14ac:dyDescent="0.3">
      <c r="A66" s="159"/>
      <c r="B66" s="131">
        <v>304210.57</v>
      </c>
      <c r="C66" s="131">
        <v>405614.11</v>
      </c>
      <c r="D66" s="131">
        <v>26364.92</v>
      </c>
      <c r="E66" s="135">
        <v>0.15</v>
      </c>
      <c r="F66" s="131">
        <v>304210.57</v>
      </c>
    </row>
    <row r="67" spans="1:6" ht="15.75" thickBot="1" x14ac:dyDescent="0.3">
      <c r="A67" s="159"/>
      <c r="B67" s="131">
        <v>405614.11</v>
      </c>
      <c r="C67" s="131">
        <v>608421.15</v>
      </c>
      <c r="D67" s="131">
        <v>41575.449999999997</v>
      </c>
      <c r="E67" s="135">
        <v>0.19</v>
      </c>
      <c r="F67" s="131">
        <v>405614.11</v>
      </c>
    </row>
    <row r="68" spans="1:6" ht="15.75" thickBot="1" x14ac:dyDescent="0.3">
      <c r="A68" s="159"/>
      <c r="B68" s="131">
        <v>608421.15</v>
      </c>
      <c r="C68" s="131">
        <v>811228.19</v>
      </c>
      <c r="D68" s="131">
        <v>80108.78</v>
      </c>
      <c r="E68" s="135">
        <v>0.23</v>
      </c>
      <c r="F68" s="131">
        <v>608421.15</v>
      </c>
    </row>
    <row r="69" spans="1:6" ht="15.75" thickBot="1" x14ac:dyDescent="0.3">
      <c r="A69" s="159"/>
      <c r="B69" s="131">
        <v>811228.19</v>
      </c>
      <c r="C69" s="131">
        <v>1216842.28</v>
      </c>
      <c r="D69" s="131">
        <v>126754.4</v>
      </c>
      <c r="E69" s="135">
        <v>0.27</v>
      </c>
      <c r="F69" s="131">
        <v>811228.19</v>
      </c>
    </row>
    <row r="70" spans="1:6" ht="15.75" thickBot="1" x14ac:dyDescent="0.3">
      <c r="A70" s="159"/>
      <c r="B70" s="131">
        <v>1216842.28</v>
      </c>
      <c r="C70" s="131">
        <v>1622456.41</v>
      </c>
      <c r="D70" s="131">
        <v>236270.21</v>
      </c>
      <c r="E70" s="135">
        <v>0.31</v>
      </c>
      <c r="F70" s="131">
        <v>1216842.28</v>
      </c>
    </row>
    <row r="71" spans="1:6" ht="15.75" thickBot="1" x14ac:dyDescent="0.3">
      <c r="A71" s="160"/>
      <c r="B71" s="131">
        <v>1622456.41</v>
      </c>
      <c r="C71" s="137" t="s">
        <v>109</v>
      </c>
      <c r="D71" s="131">
        <v>362010.59</v>
      </c>
      <c r="E71" s="136">
        <v>0.35</v>
      </c>
      <c r="F71" s="131">
        <v>1622456.41</v>
      </c>
    </row>
    <row r="72" spans="1:6" ht="15.75" thickBot="1" x14ac:dyDescent="0.3">
      <c r="A72" s="158" t="s">
        <v>8</v>
      </c>
      <c r="B72" s="132">
        <v>0</v>
      </c>
      <c r="C72" s="131">
        <v>115889.74</v>
      </c>
      <c r="D72" s="132">
        <v>0</v>
      </c>
      <c r="E72" s="133">
        <v>0.05</v>
      </c>
      <c r="F72" s="134">
        <v>0</v>
      </c>
    </row>
    <row r="73" spans="1:6" ht="15.75" thickBot="1" x14ac:dyDescent="0.3">
      <c r="A73" s="159"/>
      <c r="B73" s="131">
        <v>115889.74</v>
      </c>
      <c r="C73" s="131">
        <v>231779.49</v>
      </c>
      <c r="D73" s="131">
        <v>5794.49</v>
      </c>
      <c r="E73" s="135">
        <v>0.09</v>
      </c>
      <c r="F73" s="131">
        <v>115889.74</v>
      </c>
    </row>
    <row r="74" spans="1:6" ht="15.75" thickBot="1" x14ac:dyDescent="0.3">
      <c r="A74" s="159"/>
      <c r="B74" s="131">
        <v>231779.49</v>
      </c>
      <c r="C74" s="131">
        <v>347669.23</v>
      </c>
      <c r="D74" s="131">
        <v>16224.56</v>
      </c>
      <c r="E74" s="135">
        <v>0.12</v>
      </c>
      <c r="F74" s="131">
        <v>231779.49</v>
      </c>
    </row>
    <row r="75" spans="1:6" ht="15.75" thickBot="1" x14ac:dyDescent="0.3">
      <c r="A75" s="159"/>
      <c r="B75" s="131">
        <v>347669.23</v>
      </c>
      <c r="C75" s="131">
        <v>463558.98</v>
      </c>
      <c r="D75" s="131">
        <v>30131.33</v>
      </c>
      <c r="E75" s="135">
        <v>0.15</v>
      </c>
      <c r="F75" s="131">
        <v>347669.23</v>
      </c>
    </row>
    <row r="76" spans="1:6" ht="15.75" thickBot="1" x14ac:dyDescent="0.3">
      <c r="A76" s="159"/>
      <c r="B76" s="131">
        <v>463558.98</v>
      </c>
      <c r="C76" s="131">
        <v>695338.45</v>
      </c>
      <c r="D76" s="131">
        <v>47514.8</v>
      </c>
      <c r="E76" s="135">
        <v>0.19</v>
      </c>
      <c r="F76" s="131">
        <v>463558.98</v>
      </c>
    </row>
    <row r="77" spans="1:6" ht="15.75" thickBot="1" x14ac:dyDescent="0.3">
      <c r="A77" s="159"/>
      <c r="B77" s="131">
        <v>695338.45</v>
      </c>
      <c r="C77" s="131">
        <v>927117.93</v>
      </c>
      <c r="D77" s="131">
        <v>91552.9</v>
      </c>
      <c r="E77" s="135">
        <v>0.23</v>
      </c>
      <c r="F77" s="131">
        <v>695338.45</v>
      </c>
    </row>
    <row r="78" spans="1:6" ht="15.75" thickBot="1" x14ac:dyDescent="0.3">
      <c r="A78" s="159"/>
      <c r="B78" s="131">
        <v>927117.93</v>
      </c>
      <c r="C78" s="131">
        <v>1390676.9</v>
      </c>
      <c r="D78" s="131">
        <v>144862.18</v>
      </c>
      <c r="E78" s="135">
        <v>0.27</v>
      </c>
      <c r="F78" s="131">
        <v>927117.93</v>
      </c>
    </row>
    <row r="79" spans="1:6" ht="15.75" thickBot="1" x14ac:dyDescent="0.3">
      <c r="A79" s="159"/>
      <c r="B79" s="131">
        <v>1390676.9</v>
      </c>
      <c r="C79" s="131">
        <v>1854235.9</v>
      </c>
      <c r="D79" s="131">
        <v>270023.09999999998</v>
      </c>
      <c r="E79" s="135">
        <v>0.31</v>
      </c>
      <c r="F79" s="131">
        <v>1390676.9</v>
      </c>
    </row>
    <row r="80" spans="1:6" ht="15.75" thickBot="1" x14ac:dyDescent="0.3">
      <c r="A80" s="160"/>
      <c r="B80" s="131">
        <v>1854235.9</v>
      </c>
      <c r="C80" s="137" t="s">
        <v>109</v>
      </c>
      <c r="D80" s="131">
        <v>413726.39</v>
      </c>
      <c r="E80" s="136">
        <v>0.35</v>
      </c>
      <c r="F80" s="131">
        <v>1854235.9</v>
      </c>
    </row>
    <row r="81" spans="1:6" ht="15.75" thickBot="1" x14ac:dyDescent="0.3">
      <c r="A81" s="158" t="s">
        <v>110</v>
      </c>
      <c r="B81" s="132">
        <v>0</v>
      </c>
      <c r="C81" s="131">
        <v>130375.96</v>
      </c>
      <c r="D81" s="132">
        <v>0</v>
      </c>
      <c r="E81" s="133">
        <v>0.05</v>
      </c>
      <c r="F81" s="134">
        <v>0</v>
      </c>
    </row>
    <row r="82" spans="1:6" ht="15.75" thickBot="1" x14ac:dyDescent="0.3">
      <c r="A82" s="159"/>
      <c r="B82" s="131">
        <v>130375.96</v>
      </c>
      <c r="C82" s="131">
        <v>260751.92</v>
      </c>
      <c r="D82" s="131">
        <v>6518.8</v>
      </c>
      <c r="E82" s="135">
        <v>0.09</v>
      </c>
      <c r="F82" s="131">
        <v>130375.96</v>
      </c>
    </row>
    <row r="83" spans="1:6" ht="15.75" thickBot="1" x14ac:dyDescent="0.3">
      <c r="A83" s="159"/>
      <c r="B83" s="131">
        <v>260751.92</v>
      </c>
      <c r="C83" s="131">
        <v>391127.88</v>
      </c>
      <c r="D83" s="131">
        <v>18252.64</v>
      </c>
      <c r="E83" s="135">
        <v>0.12</v>
      </c>
      <c r="F83" s="131">
        <v>260751.92</v>
      </c>
    </row>
    <row r="84" spans="1:6" ht="15.75" thickBot="1" x14ac:dyDescent="0.3">
      <c r="A84" s="159"/>
      <c r="B84" s="131">
        <v>391127.88</v>
      </c>
      <c r="C84" s="131">
        <v>521503.85</v>
      </c>
      <c r="D84" s="131">
        <v>33897.75</v>
      </c>
      <c r="E84" s="135">
        <v>0.15</v>
      </c>
      <c r="F84" s="131">
        <v>391127.88</v>
      </c>
    </row>
    <row r="85" spans="1:6" ht="15.75" thickBot="1" x14ac:dyDescent="0.3">
      <c r="A85" s="159"/>
      <c r="B85" s="131">
        <v>521503.85</v>
      </c>
      <c r="C85" s="131">
        <v>782255.76</v>
      </c>
      <c r="D85" s="131">
        <v>53454.15</v>
      </c>
      <c r="E85" s="135">
        <v>0.19</v>
      </c>
      <c r="F85" s="131">
        <v>521503.85</v>
      </c>
    </row>
    <row r="86" spans="1:6" ht="15.75" thickBot="1" x14ac:dyDescent="0.3">
      <c r="A86" s="159"/>
      <c r="B86" s="131">
        <v>782255.76</v>
      </c>
      <c r="C86" s="131">
        <v>1043007.67</v>
      </c>
      <c r="D86" s="131">
        <v>102997.01</v>
      </c>
      <c r="E86" s="135">
        <v>0.23</v>
      </c>
      <c r="F86" s="131">
        <v>782255.76</v>
      </c>
    </row>
    <row r="87" spans="1:6" ht="15.75" thickBot="1" x14ac:dyDescent="0.3">
      <c r="A87" s="159"/>
      <c r="B87" s="131">
        <v>1043007.67</v>
      </c>
      <c r="C87" s="131">
        <v>1564511.51</v>
      </c>
      <c r="D87" s="131">
        <v>162969.95000000001</v>
      </c>
      <c r="E87" s="135">
        <v>0.27</v>
      </c>
      <c r="F87" s="131">
        <v>1043007.67</v>
      </c>
    </row>
    <row r="88" spans="1:6" ht="15.75" thickBot="1" x14ac:dyDescent="0.3">
      <c r="A88" s="159"/>
      <c r="B88" s="131">
        <v>1564511.51</v>
      </c>
      <c r="C88" s="131">
        <v>2086015.39</v>
      </c>
      <c r="D88" s="131">
        <v>303775.98</v>
      </c>
      <c r="E88" s="135">
        <v>0.31</v>
      </c>
      <c r="F88" s="131">
        <v>1564511.51</v>
      </c>
    </row>
    <row r="89" spans="1:6" ht="15.75" thickBot="1" x14ac:dyDescent="0.3">
      <c r="A89" s="160"/>
      <c r="B89" s="131">
        <v>2086015.39</v>
      </c>
      <c r="C89" s="137" t="s">
        <v>109</v>
      </c>
      <c r="D89" s="131">
        <v>465442.19</v>
      </c>
      <c r="E89" s="136">
        <v>0.35</v>
      </c>
      <c r="F89" s="131">
        <v>2086015.39</v>
      </c>
    </row>
    <row r="90" spans="1:6" ht="15.75" thickBot="1" x14ac:dyDescent="0.3">
      <c r="A90" s="158" t="s">
        <v>10</v>
      </c>
      <c r="B90" s="132">
        <v>0</v>
      </c>
      <c r="C90" s="131">
        <v>144862.17000000001</v>
      </c>
      <c r="D90" s="132">
        <v>0</v>
      </c>
      <c r="E90" s="133">
        <v>0.05</v>
      </c>
      <c r="F90" s="134">
        <v>0</v>
      </c>
    </row>
    <row r="91" spans="1:6" ht="15.75" thickBot="1" x14ac:dyDescent="0.3">
      <c r="A91" s="159"/>
      <c r="B91" s="131">
        <v>144862.17000000001</v>
      </c>
      <c r="C91" s="131">
        <v>289724.36</v>
      </c>
      <c r="D91" s="131">
        <v>7243.11</v>
      </c>
      <c r="E91" s="135">
        <v>0.09</v>
      </c>
      <c r="F91" s="131">
        <v>144862.17000000001</v>
      </c>
    </row>
    <row r="92" spans="1:6" ht="15.75" thickBot="1" x14ac:dyDescent="0.3">
      <c r="A92" s="159"/>
      <c r="B92" s="131">
        <v>289724.36</v>
      </c>
      <c r="C92" s="131">
        <v>434586.53</v>
      </c>
      <c r="D92" s="131">
        <v>20280.71</v>
      </c>
      <c r="E92" s="135">
        <v>0.12</v>
      </c>
      <c r="F92" s="131">
        <v>289724.36</v>
      </c>
    </row>
    <row r="93" spans="1:6" ht="15.75" thickBot="1" x14ac:dyDescent="0.3">
      <c r="A93" s="159"/>
      <c r="B93" s="131">
        <v>434586.53</v>
      </c>
      <c r="C93" s="131">
        <v>579448.72</v>
      </c>
      <c r="D93" s="131">
        <v>37664.17</v>
      </c>
      <c r="E93" s="135">
        <v>0.15</v>
      </c>
      <c r="F93" s="131">
        <v>434586.53</v>
      </c>
    </row>
    <row r="94" spans="1:6" ht="15.75" thickBot="1" x14ac:dyDescent="0.3">
      <c r="A94" s="159"/>
      <c r="B94" s="131">
        <v>579448.72</v>
      </c>
      <c r="C94" s="131">
        <v>869173.07</v>
      </c>
      <c r="D94" s="131">
        <v>59393.49</v>
      </c>
      <c r="E94" s="135">
        <v>0.19</v>
      </c>
      <c r="F94" s="131">
        <v>579448.72</v>
      </c>
    </row>
    <row r="95" spans="1:6" ht="15.75" thickBot="1" x14ac:dyDescent="0.3">
      <c r="A95" s="159"/>
      <c r="B95" s="131">
        <v>869173.07</v>
      </c>
      <c r="C95" s="131">
        <v>1158897.4099999999</v>
      </c>
      <c r="D95" s="131">
        <v>114441.12</v>
      </c>
      <c r="E95" s="135">
        <v>0.23</v>
      </c>
      <c r="F95" s="131">
        <v>869173.07</v>
      </c>
    </row>
    <row r="96" spans="1:6" ht="15.75" thickBot="1" x14ac:dyDescent="0.3">
      <c r="A96" s="159"/>
      <c r="B96" s="131">
        <v>1158897.4099999999</v>
      </c>
      <c r="C96" s="131">
        <v>1738346.12</v>
      </c>
      <c r="D96" s="131">
        <v>181077.72</v>
      </c>
      <c r="E96" s="135">
        <v>0.27</v>
      </c>
      <c r="F96" s="131">
        <v>1158897.4099999999</v>
      </c>
    </row>
    <row r="97" spans="1:6" ht="15.75" thickBot="1" x14ac:dyDescent="0.3">
      <c r="A97" s="159"/>
      <c r="B97" s="131">
        <v>1738346.12</v>
      </c>
      <c r="C97" s="131">
        <v>2317794.87</v>
      </c>
      <c r="D97" s="131">
        <v>337528.87</v>
      </c>
      <c r="E97" s="135">
        <v>0.31</v>
      </c>
      <c r="F97" s="131">
        <v>1738346.12</v>
      </c>
    </row>
    <row r="98" spans="1:6" ht="15.75" thickBot="1" x14ac:dyDescent="0.3">
      <c r="A98" s="160"/>
      <c r="B98" s="131">
        <v>2317794.87</v>
      </c>
      <c r="C98" s="137" t="s">
        <v>109</v>
      </c>
      <c r="D98" s="131">
        <v>517157.98</v>
      </c>
      <c r="E98" s="136">
        <v>0.35</v>
      </c>
      <c r="F98" s="131">
        <v>2317794.87</v>
      </c>
    </row>
    <row r="99" spans="1:6" ht="15.75" thickBot="1" x14ac:dyDescent="0.3">
      <c r="A99" s="158" t="s">
        <v>11</v>
      </c>
      <c r="B99" s="132">
        <v>0</v>
      </c>
      <c r="C99" s="131">
        <v>159348.39000000001</v>
      </c>
      <c r="D99" s="132">
        <v>0</v>
      </c>
      <c r="E99" s="133">
        <v>0.05</v>
      </c>
      <c r="F99" s="134">
        <v>0</v>
      </c>
    </row>
    <row r="100" spans="1:6" ht="15.75" thickBot="1" x14ac:dyDescent="0.3">
      <c r="A100" s="159"/>
      <c r="B100" s="131">
        <v>159348.39000000001</v>
      </c>
      <c r="C100" s="131">
        <v>318696.8</v>
      </c>
      <c r="D100" s="131">
        <v>7967.42</v>
      </c>
      <c r="E100" s="135">
        <v>0.09</v>
      </c>
      <c r="F100" s="131">
        <v>159348.39000000001</v>
      </c>
    </row>
    <row r="101" spans="1:6" ht="15.75" thickBot="1" x14ac:dyDescent="0.3">
      <c r="A101" s="159"/>
      <c r="B101" s="131">
        <v>318696.8</v>
      </c>
      <c r="C101" s="131">
        <v>478045.19</v>
      </c>
      <c r="D101" s="131">
        <v>22308.78</v>
      </c>
      <c r="E101" s="135">
        <v>0.12</v>
      </c>
      <c r="F101" s="131">
        <v>318696.8</v>
      </c>
    </row>
    <row r="102" spans="1:6" ht="15.75" thickBot="1" x14ac:dyDescent="0.3">
      <c r="A102" s="159"/>
      <c r="B102" s="131">
        <v>478045.19</v>
      </c>
      <c r="C102" s="131">
        <v>637393.59</v>
      </c>
      <c r="D102" s="131">
        <v>41430.58</v>
      </c>
      <c r="E102" s="135">
        <v>0.15</v>
      </c>
      <c r="F102" s="131">
        <v>478045.19</v>
      </c>
    </row>
    <row r="103" spans="1:6" ht="15.75" thickBot="1" x14ac:dyDescent="0.3">
      <c r="A103" s="159"/>
      <c r="B103" s="131">
        <v>637393.59</v>
      </c>
      <c r="C103" s="131">
        <v>956090.37</v>
      </c>
      <c r="D103" s="131">
        <v>65332.84</v>
      </c>
      <c r="E103" s="135">
        <v>0.19</v>
      </c>
      <c r="F103" s="131">
        <v>637393.59</v>
      </c>
    </row>
    <row r="104" spans="1:6" ht="15.75" thickBot="1" x14ac:dyDescent="0.3">
      <c r="A104" s="159"/>
      <c r="B104" s="131">
        <v>956090.37</v>
      </c>
      <c r="C104" s="131">
        <v>1274787.1599999999</v>
      </c>
      <c r="D104" s="131">
        <v>125885.23</v>
      </c>
      <c r="E104" s="135">
        <v>0.23</v>
      </c>
      <c r="F104" s="131">
        <v>956090.37</v>
      </c>
    </row>
    <row r="105" spans="1:6" ht="15.75" thickBot="1" x14ac:dyDescent="0.3">
      <c r="A105" s="159"/>
      <c r="B105" s="131">
        <v>1274787.1599999999</v>
      </c>
      <c r="C105" s="131">
        <v>1912180.73</v>
      </c>
      <c r="D105" s="131">
        <v>199185.49</v>
      </c>
      <c r="E105" s="135">
        <v>0.27</v>
      </c>
      <c r="F105" s="131">
        <v>1274787.1599999999</v>
      </c>
    </row>
    <row r="106" spans="1:6" ht="15.75" thickBot="1" x14ac:dyDescent="0.3">
      <c r="A106" s="159"/>
      <c r="B106" s="131">
        <v>1912180.73</v>
      </c>
      <c r="C106" s="131">
        <v>2549574.36</v>
      </c>
      <c r="D106" s="131">
        <v>371281.76</v>
      </c>
      <c r="E106" s="135">
        <v>0.31</v>
      </c>
      <c r="F106" s="131">
        <v>1912180.73</v>
      </c>
    </row>
    <row r="107" spans="1:6" ht="15.75" thickBot="1" x14ac:dyDescent="0.3">
      <c r="A107" s="160"/>
      <c r="B107" s="131">
        <v>2549574.36</v>
      </c>
      <c r="C107" s="137" t="s">
        <v>109</v>
      </c>
      <c r="D107" s="131">
        <v>568873.78</v>
      </c>
      <c r="E107" s="136">
        <v>0.35</v>
      </c>
      <c r="F107" s="131">
        <v>2549574.36</v>
      </c>
    </row>
    <row r="108" spans="1:6" ht="15.75" thickBot="1" x14ac:dyDescent="0.3">
      <c r="A108" s="158" t="s">
        <v>12</v>
      </c>
      <c r="B108" s="132">
        <v>0</v>
      </c>
      <c r="C108" s="131">
        <v>173834.61</v>
      </c>
      <c r="D108" s="132">
        <v>0</v>
      </c>
      <c r="E108" s="133">
        <v>0.05</v>
      </c>
      <c r="F108" s="134">
        <v>0</v>
      </c>
    </row>
    <row r="109" spans="1:6" ht="15.75" thickBot="1" x14ac:dyDescent="0.3">
      <c r="A109" s="159"/>
      <c r="B109" s="131">
        <v>173834.61</v>
      </c>
      <c r="C109" s="131">
        <v>347669.23</v>
      </c>
      <c r="D109" s="131">
        <v>8691.73</v>
      </c>
      <c r="E109" s="135">
        <v>0.09</v>
      </c>
      <c r="F109" s="131">
        <v>173834.61</v>
      </c>
    </row>
    <row r="110" spans="1:6" ht="15.75" thickBot="1" x14ac:dyDescent="0.3">
      <c r="A110" s="159"/>
      <c r="B110" s="131">
        <v>347669.23</v>
      </c>
      <c r="C110" s="131">
        <v>521503.84</v>
      </c>
      <c r="D110" s="131">
        <v>24336.85</v>
      </c>
      <c r="E110" s="135">
        <v>0.12</v>
      </c>
      <c r="F110" s="131">
        <v>347669.23</v>
      </c>
    </row>
    <row r="111" spans="1:6" ht="15.75" thickBot="1" x14ac:dyDescent="0.3">
      <c r="A111" s="159"/>
      <c r="B111" s="131">
        <v>521503.84</v>
      </c>
      <c r="C111" s="131">
        <v>695338.47</v>
      </c>
      <c r="D111" s="131">
        <v>45197</v>
      </c>
      <c r="E111" s="135">
        <v>0.15</v>
      </c>
      <c r="F111" s="131">
        <v>521503.84</v>
      </c>
    </row>
    <row r="112" spans="1:6" ht="15.75" thickBot="1" x14ac:dyDescent="0.3">
      <c r="A112" s="159"/>
      <c r="B112" s="131">
        <v>695338.47</v>
      </c>
      <c r="C112" s="131">
        <v>1043007.68</v>
      </c>
      <c r="D112" s="131">
        <v>71272.19</v>
      </c>
      <c r="E112" s="135">
        <v>0.19</v>
      </c>
      <c r="F112" s="131">
        <v>695338.47</v>
      </c>
    </row>
    <row r="113" spans="1:6" ht="15.75" thickBot="1" x14ac:dyDescent="0.3">
      <c r="A113" s="159"/>
      <c r="B113" s="131">
        <v>1043007.68</v>
      </c>
      <c r="C113" s="131">
        <v>1390676.9</v>
      </c>
      <c r="D113" s="131">
        <v>137329.34</v>
      </c>
      <c r="E113" s="135">
        <v>0.23</v>
      </c>
      <c r="F113" s="131">
        <v>1043007.68</v>
      </c>
    </row>
    <row r="114" spans="1:6" ht="15.75" thickBot="1" x14ac:dyDescent="0.3">
      <c r="A114" s="159"/>
      <c r="B114" s="131">
        <v>1390676.9</v>
      </c>
      <c r="C114" s="131">
        <v>2086015.35</v>
      </c>
      <c r="D114" s="131">
        <v>217293.26</v>
      </c>
      <c r="E114" s="135">
        <v>0.27</v>
      </c>
      <c r="F114" s="131">
        <v>1390676.9</v>
      </c>
    </row>
    <row r="115" spans="1:6" ht="15.75" thickBot="1" x14ac:dyDescent="0.3">
      <c r="A115" s="159"/>
      <c r="B115" s="131">
        <v>2086015.35</v>
      </c>
      <c r="C115" s="131">
        <v>2781353.85</v>
      </c>
      <c r="D115" s="131">
        <v>405034.64</v>
      </c>
      <c r="E115" s="135">
        <v>0.31</v>
      </c>
      <c r="F115" s="131">
        <v>2086015.35</v>
      </c>
    </row>
    <row r="116" spans="1:6" ht="15.75" thickBot="1" x14ac:dyDescent="0.3">
      <c r="A116" s="160"/>
      <c r="B116" s="131">
        <v>2781353.85</v>
      </c>
      <c r="C116" s="137" t="s">
        <v>109</v>
      </c>
      <c r="D116" s="131">
        <v>620589.57999999996</v>
      </c>
      <c r="E116" s="136">
        <v>0.35</v>
      </c>
      <c r="F116" s="131">
        <v>2781353.85</v>
      </c>
    </row>
  </sheetData>
  <sheetProtection algorithmName="SHA-512" hashValue="9te687N1A+QeJiYRAIqzNOXAKkNpZNJMhXVDGA3N77GisdH1dij62ufGN/axyAPL8nx3w2B7ZBkTKvJ3kINXCg==" saltValue="2nxO82AdVjPDTzGfClUeOg==" spinCount="100000" sheet="1" objects="1" scenarios="1"/>
  <mergeCells count="20">
    <mergeCell ref="D6:F6"/>
    <mergeCell ref="A90:A98"/>
    <mergeCell ref="A99:A107"/>
    <mergeCell ref="A108:A116"/>
    <mergeCell ref="A45:A53"/>
    <mergeCell ref="A54:A62"/>
    <mergeCell ref="A63:A71"/>
    <mergeCell ref="A72:A80"/>
    <mergeCell ref="A36:A44"/>
    <mergeCell ref="A7:A8"/>
    <mergeCell ref="B7:C7"/>
    <mergeCell ref="D7:F7"/>
    <mergeCell ref="A81:A89"/>
    <mergeCell ref="A2:C2"/>
    <mergeCell ref="A4:C4"/>
    <mergeCell ref="A9:A17"/>
    <mergeCell ref="A18:A26"/>
    <mergeCell ref="A27:A35"/>
    <mergeCell ref="A6:C6"/>
    <mergeCell ref="A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3"/>
  <sheetViews>
    <sheetView zoomScale="95" zoomScaleNormal="95" workbookViewId="0">
      <selection activeCell="G32" sqref="G32"/>
    </sheetView>
  </sheetViews>
  <sheetFormatPr baseColWidth="10" defaultRowHeight="15" x14ac:dyDescent="0.25"/>
  <cols>
    <col min="3" max="4" width="11.42578125" style="129"/>
  </cols>
  <sheetData>
    <row r="1" spans="1:8" x14ac:dyDescent="0.25">
      <c r="A1" t="s">
        <v>161</v>
      </c>
      <c r="B1" s="96"/>
      <c r="E1" t="s">
        <v>162</v>
      </c>
    </row>
    <row r="2" spans="1:8" ht="36" x14ac:dyDescent="0.25">
      <c r="A2" s="52" t="s">
        <v>111</v>
      </c>
      <c r="B2" s="54" t="s">
        <v>112</v>
      </c>
      <c r="E2" s="52" t="s">
        <v>111</v>
      </c>
      <c r="F2" s="54" t="s">
        <v>112</v>
      </c>
      <c r="G2" s="129"/>
    </row>
    <row r="3" spans="1:8" x14ac:dyDescent="0.25">
      <c r="A3" s="53">
        <v>404062</v>
      </c>
      <c r="B3" s="128"/>
      <c r="C3" s="130">
        <v>115775</v>
      </c>
      <c r="D3" s="129" t="s">
        <v>154</v>
      </c>
      <c r="E3" s="53">
        <v>506230</v>
      </c>
      <c r="F3" s="128"/>
      <c r="G3" s="130">
        <v>199645</v>
      </c>
    </row>
    <row r="4" spans="1:8" x14ac:dyDescent="0.25">
      <c r="A4" s="53">
        <v>404331</v>
      </c>
      <c r="B4" s="128">
        <v>115775</v>
      </c>
      <c r="C4" s="130">
        <v>114779</v>
      </c>
      <c r="D4" s="129" t="s">
        <v>154</v>
      </c>
      <c r="E4" s="53">
        <v>506568</v>
      </c>
      <c r="F4" s="128">
        <v>199645</v>
      </c>
      <c r="G4" s="130">
        <v>197921</v>
      </c>
      <c r="H4" t="s">
        <v>154</v>
      </c>
    </row>
    <row r="5" spans="1:8" x14ac:dyDescent="0.25">
      <c r="A5" s="53">
        <v>404601</v>
      </c>
      <c r="B5" s="128">
        <v>114779</v>
      </c>
      <c r="C5" s="130">
        <v>113865</v>
      </c>
      <c r="D5" s="129" t="s">
        <v>154</v>
      </c>
      <c r="E5" s="53">
        <v>506906</v>
      </c>
      <c r="F5" s="128">
        <v>197921</v>
      </c>
      <c r="G5" s="130">
        <v>196344</v>
      </c>
      <c r="H5" t="s">
        <v>154</v>
      </c>
    </row>
    <row r="6" spans="1:8" x14ac:dyDescent="0.25">
      <c r="A6" s="53">
        <v>404871</v>
      </c>
      <c r="B6" s="128">
        <v>113865</v>
      </c>
      <c r="C6" s="130">
        <v>113003</v>
      </c>
      <c r="D6" s="129" t="s">
        <v>154</v>
      </c>
      <c r="E6" s="53">
        <v>507244</v>
      </c>
      <c r="F6" s="128">
        <v>196344</v>
      </c>
      <c r="G6" s="130">
        <v>194867</v>
      </c>
      <c r="H6" t="s">
        <v>154</v>
      </c>
    </row>
    <row r="7" spans="1:8" x14ac:dyDescent="0.25">
      <c r="A7" s="53">
        <v>405139</v>
      </c>
      <c r="B7" s="128">
        <v>113003</v>
      </c>
      <c r="C7" s="130">
        <v>112178</v>
      </c>
      <c r="D7" s="129" t="s">
        <v>154</v>
      </c>
      <c r="E7" s="53">
        <v>507580</v>
      </c>
      <c r="F7" s="128">
        <v>194867</v>
      </c>
      <c r="G7" s="130">
        <v>193441</v>
      </c>
      <c r="H7" t="s">
        <v>154</v>
      </c>
    </row>
    <row r="8" spans="1:8" x14ac:dyDescent="0.25">
      <c r="A8" s="53">
        <v>405409</v>
      </c>
      <c r="B8" s="128">
        <v>112178</v>
      </c>
      <c r="C8" s="130">
        <v>111381</v>
      </c>
      <c r="D8" s="129" t="s">
        <v>154</v>
      </c>
      <c r="E8" s="53">
        <v>507918</v>
      </c>
      <c r="F8" s="128">
        <v>193441</v>
      </c>
      <c r="G8" s="130">
        <v>192064</v>
      </c>
      <c r="H8" t="s">
        <v>154</v>
      </c>
    </row>
    <row r="9" spans="1:8" x14ac:dyDescent="0.25">
      <c r="A9" s="53">
        <v>405679</v>
      </c>
      <c r="B9" s="128">
        <v>111381</v>
      </c>
      <c r="C9" s="130">
        <v>110608</v>
      </c>
      <c r="D9" s="129" t="s">
        <v>154</v>
      </c>
      <c r="E9" s="53">
        <v>508256</v>
      </c>
      <c r="F9" s="128">
        <v>192064</v>
      </c>
      <c r="G9" s="130">
        <v>190735</v>
      </c>
      <c r="H9" t="s">
        <v>154</v>
      </c>
    </row>
    <row r="10" spans="1:8" x14ac:dyDescent="0.25">
      <c r="A10" s="53">
        <v>405947</v>
      </c>
      <c r="B10" s="128">
        <v>110608</v>
      </c>
      <c r="C10" s="130">
        <v>109852</v>
      </c>
      <c r="D10" s="129" t="s">
        <v>154</v>
      </c>
      <c r="E10" s="53">
        <v>508592</v>
      </c>
      <c r="F10" s="128">
        <v>190735</v>
      </c>
      <c r="G10" s="130">
        <v>189428</v>
      </c>
      <c r="H10" t="s">
        <v>154</v>
      </c>
    </row>
    <row r="11" spans="1:8" x14ac:dyDescent="0.25">
      <c r="A11" s="53">
        <v>406217</v>
      </c>
      <c r="B11" s="128">
        <v>109852</v>
      </c>
      <c r="C11" s="130">
        <v>109109</v>
      </c>
      <c r="D11" s="129" t="s">
        <v>154</v>
      </c>
      <c r="E11" s="53">
        <v>508930</v>
      </c>
      <c r="F11" s="128">
        <v>189428</v>
      </c>
      <c r="G11" s="130">
        <v>188153</v>
      </c>
      <c r="H11" t="s">
        <v>154</v>
      </c>
    </row>
    <row r="12" spans="1:8" x14ac:dyDescent="0.25">
      <c r="A12" s="53">
        <v>406486</v>
      </c>
      <c r="B12" s="128">
        <v>109109</v>
      </c>
      <c r="C12" s="130">
        <v>108385</v>
      </c>
      <c r="D12" s="129" t="s">
        <v>154</v>
      </c>
      <c r="E12" s="53">
        <v>509267</v>
      </c>
      <c r="F12" s="128">
        <v>188153</v>
      </c>
      <c r="G12" s="130">
        <v>186898</v>
      </c>
      <c r="H12" t="s">
        <v>154</v>
      </c>
    </row>
    <row r="13" spans="1:8" x14ac:dyDescent="0.25">
      <c r="A13" s="53">
        <v>406756</v>
      </c>
      <c r="B13" s="128">
        <v>108385</v>
      </c>
      <c r="C13" s="130">
        <v>107672</v>
      </c>
      <c r="D13" s="129" t="s">
        <v>154</v>
      </c>
      <c r="E13" s="53">
        <v>509606</v>
      </c>
      <c r="F13" s="128">
        <v>186898</v>
      </c>
      <c r="G13" s="130">
        <v>185664</v>
      </c>
      <c r="H13" t="s">
        <v>154</v>
      </c>
    </row>
    <row r="14" spans="1:8" x14ac:dyDescent="0.25">
      <c r="A14" s="53">
        <v>407026</v>
      </c>
      <c r="B14" s="128">
        <v>107672</v>
      </c>
      <c r="C14" s="130">
        <v>106969</v>
      </c>
      <c r="D14" s="129" t="s">
        <v>154</v>
      </c>
      <c r="E14" s="53">
        <v>509944</v>
      </c>
      <c r="F14" s="128">
        <v>185664</v>
      </c>
      <c r="G14" s="130">
        <v>184458</v>
      </c>
      <c r="H14" t="s">
        <v>154</v>
      </c>
    </row>
    <row r="15" spans="1:8" x14ac:dyDescent="0.25">
      <c r="A15" s="53">
        <v>407294</v>
      </c>
      <c r="B15" s="128">
        <v>106969</v>
      </c>
      <c r="C15" s="130">
        <v>106273</v>
      </c>
      <c r="D15" s="129" t="s">
        <v>154</v>
      </c>
      <c r="E15" s="53">
        <v>510280</v>
      </c>
      <c r="F15" s="128">
        <v>184458</v>
      </c>
      <c r="G15" s="130">
        <v>183260</v>
      </c>
      <c r="H15" t="s">
        <v>154</v>
      </c>
    </row>
    <row r="16" spans="1:8" x14ac:dyDescent="0.25">
      <c r="A16" s="53">
        <v>407564</v>
      </c>
      <c r="B16" s="128">
        <v>106273</v>
      </c>
      <c r="C16" s="130">
        <v>105592</v>
      </c>
      <c r="D16" s="129" t="s">
        <v>154</v>
      </c>
      <c r="E16" s="53">
        <v>510618</v>
      </c>
      <c r="F16" s="128">
        <v>183260</v>
      </c>
      <c r="G16" s="130">
        <v>182078</v>
      </c>
      <c r="H16" t="s">
        <v>154</v>
      </c>
    </row>
    <row r="17" spans="1:8" x14ac:dyDescent="0.25">
      <c r="A17" s="53">
        <v>407834</v>
      </c>
      <c r="B17" s="128">
        <v>105592</v>
      </c>
      <c r="C17" s="130">
        <v>104916</v>
      </c>
      <c r="D17" s="129" t="s">
        <v>154</v>
      </c>
      <c r="E17" s="53">
        <v>510956</v>
      </c>
      <c r="F17" s="128">
        <v>182078</v>
      </c>
      <c r="G17" s="130">
        <v>180918</v>
      </c>
      <c r="H17" t="s">
        <v>154</v>
      </c>
    </row>
    <row r="18" spans="1:8" x14ac:dyDescent="0.25">
      <c r="A18" s="53">
        <v>408102</v>
      </c>
      <c r="B18" s="128">
        <v>104916</v>
      </c>
      <c r="C18" s="130">
        <v>104249</v>
      </c>
      <c r="D18" s="129" t="s">
        <v>154</v>
      </c>
      <c r="E18" s="53">
        <v>511292</v>
      </c>
      <c r="F18" s="128">
        <v>180918</v>
      </c>
      <c r="G18" s="130">
        <v>179763</v>
      </c>
      <c r="H18" t="s">
        <v>154</v>
      </c>
    </row>
    <row r="19" spans="1:8" x14ac:dyDescent="0.25">
      <c r="A19" s="53">
        <v>408372</v>
      </c>
      <c r="B19" s="128">
        <v>104249</v>
      </c>
      <c r="C19" s="130">
        <v>103585</v>
      </c>
      <c r="D19" s="129" t="s">
        <v>154</v>
      </c>
      <c r="E19" s="53">
        <v>511630</v>
      </c>
      <c r="F19" s="128">
        <v>179763</v>
      </c>
      <c r="G19" s="130">
        <v>178625</v>
      </c>
      <c r="H19" t="s">
        <v>154</v>
      </c>
    </row>
    <row r="20" spans="1:8" x14ac:dyDescent="0.25">
      <c r="A20" s="53">
        <v>408641</v>
      </c>
      <c r="B20" s="128">
        <v>103585</v>
      </c>
      <c r="C20" s="130">
        <v>102931</v>
      </c>
      <c r="D20" s="129" t="s">
        <v>154</v>
      </c>
      <c r="E20" s="53">
        <v>511967</v>
      </c>
      <c r="F20" s="128">
        <v>178625</v>
      </c>
      <c r="G20" s="130">
        <v>177494</v>
      </c>
      <c r="H20" t="s">
        <v>154</v>
      </c>
    </row>
    <row r="21" spans="1:8" x14ac:dyDescent="0.25">
      <c r="A21" s="53">
        <v>408911</v>
      </c>
      <c r="B21" s="128">
        <v>102931</v>
      </c>
      <c r="C21" s="130">
        <v>102281</v>
      </c>
      <c r="D21" s="129" t="s">
        <v>154</v>
      </c>
      <c r="E21" s="53">
        <v>512306</v>
      </c>
      <c r="F21" s="128">
        <v>177494</v>
      </c>
      <c r="G21" s="130">
        <v>176373</v>
      </c>
      <c r="H21" t="s">
        <v>154</v>
      </c>
    </row>
    <row r="22" spans="1:8" x14ac:dyDescent="0.25">
      <c r="A22" s="53">
        <v>409181</v>
      </c>
      <c r="B22" s="128">
        <v>102281</v>
      </c>
      <c r="C22" s="130">
        <v>101641</v>
      </c>
      <c r="D22" s="129" t="s">
        <v>154</v>
      </c>
      <c r="E22" s="53">
        <v>512644</v>
      </c>
      <c r="F22" s="128">
        <v>176373</v>
      </c>
      <c r="G22" s="130">
        <v>175271</v>
      </c>
      <c r="H22" t="s">
        <v>154</v>
      </c>
    </row>
    <row r="23" spans="1:8" x14ac:dyDescent="0.25">
      <c r="A23" s="53">
        <v>409449</v>
      </c>
      <c r="B23" s="128">
        <v>101641</v>
      </c>
      <c r="C23" s="130">
        <v>101003</v>
      </c>
      <c r="D23" s="129" t="s">
        <v>154</v>
      </c>
      <c r="E23" s="53">
        <v>512980</v>
      </c>
      <c r="F23" s="128">
        <v>175271</v>
      </c>
      <c r="G23" s="130">
        <v>174169</v>
      </c>
      <c r="H23" t="s">
        <v>154</v>
      </c>
    </row>
    <row r="24" spans="1:8" x14ac:dyDescent="0.25">
      <c r="A24" s="53">
        <v>409719</v>
      </c>
      <c r="B24" s="128">
        <v>101003</v>
      </c>
      <c r="C24" s="130">
        <v>100371</v>
      </c>
      <c r="D24" s="129" t="s">
        <v>154</v>
      </c>
      <c r="E24" s="53">
        <v>513318</v>
      </c>
      <c r="F24" s="128">
        <v>174169</v>
      </c>
      <c r="G24" s="130">
        <v>173077</v>
      </c>
      <c r="H24" t="s">
        <v>154</v>
      </c>
    </row>
    <row r="25" spans="1:8" x14ac:dyDescent="0.25">
      <c r="A25" s="53">
        <v>409989</v>
      </c>
      <c r="B25" s="128">
        <v>100371</v>
      </c>
      <c r="C25" s="130">
        <v>99744</v>
      </c>
      <c r="D25" s="129" t="s">
        <v>154</v>
      </c>
      <c r="E25" s="53">
        <v>513656</v>
      </c>
      <c r="F25" s="128">
        <v>173077</v>
      </c>
      <c r="G25" s="130">
        <v>172001</v>
      </c>
      <c r="H25" t="s">
        <v>154</v>
      </c>
    </row>
    <row r="26" spans="1:8" x14ac:dyDescent="0.25">
      <c r="A26" s="53">
        <v>410257</v>
      </c>
      <c r="B26" s="128">
        <v>99744</v>
      </c>
      <c r="C26" s="130">
        <v>99121</v>
      </c>
      <c r="D26" s="129" t="s">
        <v>154</v>
      </c>
      <c r="E26" s="53">
        <v>513992</v>
      </c>
      <c r="F26" s="128">
        <v>172001</v>
      </c>
      <c r="G26" s="130">
        <v>170925</v>
      </c>
      <c r="H26" t="s">
        <v>154</v>
      </c>
    </row>
    <row r="27" spans="1:8" x14ac:dyDescent="0.25">
      <c r="A27" s="53">
        <v>410527</v>
      </c>
      <c r="B27" s="128">
        <v>99121</v>
      </c>
      <c r="C27" s="130">
        <v>98502</v>
      </c>
      <c r="D27" s="129" t="s">
        <v>154</v>
      </c>
      <c r="E27" s="53">
        <v>514330</v>
      </c>
      <c r="F27" s="128">
        <v>170925</v>
      </c>
      <c r="G27" s="130">
        <v>169860</v>
      </c>
      <c r="H27" t="s">
        <v>154</v>
      </c>
    </row>
    <row r="28" spans="1:8" x14ac:dyDescent="0.25">
      <c r="A28" s="53">
        <v>410796</v>
      </c>
      <c r="B28" s="128">
        <v>98502</v>
      </c>
      <c r="C28" s="130">
        <v>97887</v>
      </c>
      <c r="D28" s="129" t="s">
        <v>154</v>
      </c>
      <c r="E28" s="53">
        <v>514667</v>
      </c>
      <c r="F28" s="128">
        <v>169860</v>
      </c>
      <c r="G28" s="130">
        <v>168799</v>
      </c>
      <c r="H28" t="s">
        <v>154</v>
      </c>
    </row>
    <row r="29" spans="1:8" x14ac:dyDescent="0.25">
      <c r="A29" s="53">
        <v>411066</v>
      </c>
      <c r="B29" s="128">
        <v>97887</v>
      </c>
      <c r="C29" s="130">
        <v>97279</v>
      </c>
      <c r="D29" s="129" t="s">
        <v>154</v>
      </c>
      <c r="E29" s="53">
        <v>515006</v>
      </c>
      <c r="F29" s="128">
        <v>168799</v>
      </c>
      <c r="G29" s="130">
        <v>167745</v>
      </c>
      <c r="H29" t="s">
        <v>154</v>
      </c>
    </row>
    <row r="30" spans="1:8" x14ac:dyDescent="0.25">
      <c r="A30" s="53">
        <v>411336</v>
      </c>
      <c r="B30" s="128">
        <v>97279</v>
      </c>
      <c r="C30" s="130">
        <v>96673</v>
      </c>
      <c r="D30" s="129" t="s">
        <v>154</v>
      </c>
      <c r="E30" s="53">
        <v>515344</v>
      </c>
      <c r="F30" s="128">
        <v>167745</v>
      </c>
      <c r="G30" s="130">
        <v>166705</v>
      </c>
      <c r="H30" t="s">
        <v>154</v>
      </c>
    </row>
    <row r="31" spans="1:8" x14ac:dyDescent="0.25">
      <c r="A31" s="53">
        <v>411604</v>
      </c>
      <c r="B31" s="128">
        <v>96673</v>
      </c>
      <c r="C31" s="130">
        <v>96070</v>
      </c>
      <c r="D31" s="129" t="s">
        <v>154</v>
      </c>
      <c r="E31" s="53">
        <v>515680</v>
      </c>
      <c r="F31" s="128">
        <v>166705</v>
      </c>
      <c r="G31" s="130">
        <v>165664</v>
      </c>
      <c r="H31" t="s">
        <v>154</v>
      </c>
    </row>
    <row r="32" spans="1:8" x14ac:dyDescent="0.25">
      <c r="A32" s="53">
        <v>411874</v>
      </c>
      <c r="B32" s="128">
        <v>96070</v>
      </c>
      <c r="C32" s="130">
        <v>95471</v>
      </c>
      <c r="D32" s="129" t="s">
        <v>154</v>
      </c>
      <c r="E32" s="53">
        <v>516018</v>
      </c>
      <c r="F32" s="128">
        <v>165664</v>
      </c>
      <c r="G32" s="130">
        <v>164629</v>
      </c>
      <c r="H32" t="s">
        <v>154</v>
      </c>
    </row>
    <row r="33" spans="1:8" x14ac:dyDescent="0.25">
      <c r="A33" s="53">
        <v>412144</v>
      </c>
      <c r="B33" s="128">
        <v>95471</v>
      </c>
      <c r="C33" s="130">
        <v>94876</v>
      </c>
      <c r="D33" s="129" t="s">
        <v>154</v>
      </c>
      <c r="E33" s="53">
        <v>516356</v>
      </c>
      <c r="F33" s="128">
        <v>164629</v>
      </c>
      <c r="G33" s="130">
        <v>163607</v>
      </c>
      <c r="H33" t="s">
        <v>154</v>
      </c>
    </row>
    <row r="34" spans="1:8" x14ac:dyDescent="0.25">
      <c r="A34" s="53">
        <v>412412</v>
      </c>
      <c r="B34" s="128">
        <v>94876</v>
      </c>
      <c r="C34" s="130">
        <v>94284</v>
      </c>
      <c r="D34" s="129" t="s">
        <v>154</v>
      </c>
      <c r="E34" s="53">
        <v>516692</v>
      </c>
      <c r="F34" s="128">
        <v>163607</v>
      </c>
      <c r="G34" s="130">
        <v>162583</v>
      </c>
      <c r="H34" t="s">
        <v>154</v>
      </c>
    </row>
    <row r="35" spans="1:8" x14ac:dyDescent="0.25">
      <c r="A35" s="53">
        <v>412682</v>
      </c>
      <c r="B35" s="128">
        <v>94284</v>
      </c>
      <c r="C35" s="130">
        <v>93693</v>
      </c>
      <c r="D35" s="129" t="s">
        <v>154</v>
      </c>
      <c r="E35" s="53">
        <v>517030</v>
      </c>
      <c r="F35" s="128">
        <v>162583</v>
      </c>
      <c r="G35" s="130">
        <v>161569</v>
      </c>
      <c r="H35" t="s">
        <v>154</v>
      </c>
    </row>
    <row r="36" spans="1:8" x14ac:dyDescent="0.25">
      <c r="A36" s="53">
        <v>412951</v>
      </c>
      <c r="B36" s="128">
        <v>93693</v>
      </c>
      <c r="C36" s="130">
        <v>93109</v>
      </c>
      <c r="D36" s="129" t="s">
        <v>154</v>
      </c>
      <c r="E36" s="53">
        <v>517367</v>
      </c>
      <c r="F36" s="128">
        <v>161569</v>
      </c>
      <c r="G36" s="130">
        <v>160555</v>
      </c>
      <c r="H36" t="s">
        <v>154</v>
      </c>
    </row>
    <row r="37" spans="1:8" x14ac:dyDescent="0.25">
      <c r="A37" s="53">
        <v>413221</v>
      </c>
      <c r="B37" s="128">
        <v>93109</v>
      </c>
      <c r="C37" s="130">
        <v>92526</v>
      </c>
      <c r="D37" s="129" t="s">
        <v>154</v>
      </c>
      <c r="E37" s="53">
        <v>517705</v>
      </c>
      <c r="F37" s="128">
        <v>160555</v>
      </c>
      <c r="G37" s="130">
        <v>159547</v>
      </c>
      <c r="H37" t="s">
        <v>154</v>
      </c>
    </row>
    <row r="38" spans="1:8" x14ac:dyDescent="0.25">
      <c r="A38" s="53">
        <v>413491</v>
      </c>
      <c r="B38" s="128">
        <v>92526</v>
      </c>
      <c r="C38" s="130">
        <v>91946</v>
      </c>
      <c r="D38" s="129" t="s">
        <v>154</v>
      </c>
      <c r="E38" s="53">
        <v>518044</v>
      </c>
      <c r="F38" s="128">
        <v>159547</v>
      </c>
      <c r="G38" s="130">
        <v>158552</v>
      </c>
      <c r="H38" t="s">
        <v>154</v>
      </c>
    </row>
    <row r="39" spans="1:8" x14ac:dyDescent="0.25">
      <c r="A39" s="53">
        <v>413759</v>
      </c>
      <c r="B39" s="128">
        <v>91946</v>
      </c>
      <c r="C39" s="130">
        <v>91367</v>
      </c>
      <c r="D39" s="129" t="s">
        <v>154</v>
      </c>
      <c r="E39" s="53">
        <v>518379</v>
      </c>
      <c r="F39" s="128">
        <v>158552</v>
      </c>
      <c r="G39" s="130">
        <v>157553</v>
      </c>
      <c r="H39" t="s">
        <v>154</v>
      </c>
    </row>
    <row r="40" spans="1:8" x14ac:dyDescent="0.25">
      <c r="A40" s="53">
        <v>414029</v>
      </c>
      <c r="B40" s="128">
        <v>91367</v>
      </c>
      <c r="C40" s="130">
        <v>90793</v>
      </c>
      <c r="D40" s="129" t="s">
        <v>154</v>
      </c>
      <c r="E40" s="53">
        <v>518718</v>
      </c>
      <c r="F40" s="128">
        <v>157553</v>
      </c>
      <c r="G40" s="130">
        <v>156559</v>
      </c>
      <c r="H40" t="s">
        <v>154</v>
      </c>
    </row>
    <row r="41" spans="1:8" x14ac:dyDescent="0.25">
      <c r="A41" s="53">
        <v>414299</v>
      </c>
      <c r="B41" s="128">
        <v>90793</v>
      </c>
      <c r="C41" s="130">
        <v>90219</v>
      </c>
      <c r="D41" s="129" t="s">
        <v>154</v>
      </c>
      <c r="E41" s="53">
        <v>519056</v>
      </c>
      <c r="F41" s="128">
        <v>156559</v>
      </c>
      <c r="G41" s="130">
        <v>155577</v>
      </c>
      <c r="H41" t="s">
        <v>154</v>
      </c>
    </row>
    <row r="42" spans="1:8" x14ac:dyDescent="0.25">
      <c r="A42" s="53">
        <v>414567</v>
      </c>
      <c r="B42" s="128">
        <v>90219</v>
      </c>
      <c r="C42" s="130">
        <v>89650</v>
      </c>
      <c r="D42" s="129" t="s">
        <v>154</v>
      </c>
      <c r="E42" s="53">
        <v>519392</v>
      </c>
      <c r="F42" s="128">
        <v>155577</v>
      </c>
      <c r="G42" s="130">
        <v>154592</v>
      </c>
      <c r="H42" t="s">
        <v>154</v>
      </c>
    </row>
    <row r="43" spans="1:8" x14ac:dyDescent="0.25">
      <c r="A43" s="53">
        <v>414837</v>
      </c>
      <c r="B43" s="128">
        <v>89650</v>
      </c>
      <c r="C43" s="130">
        <v>89083</v>
      </c>
      <c r="D43" s="129" t="s">
        <v>154</v>
      </c>
      <c r="E43" s="53">
        <v>519730</v>
      </c>
      <c r="F43" s="128">
        <v>154592</v>
      </c>
      <c r="G43" s="130">
        <v>153615</v>
      </c>
      <c r="H43" t="s">
        <v>154</v>
      </c>
    </row>
    <row r="44" spans="1:8" x14ac:dyDescent="0.25">
      <c r="A44" s="53">
        <v>415106</v>
      </c>
      <c r="B44" s="128">
        <v>89083</v>
      </c>
      <c r="C44" s="130">
        <v>88516</v>
      </c>
      <c r="D44" s="129" t="s">
        <v>154</v>
      </c>
      <c r="E44" s="53">
        <v>520067</v>
      </c>
      <c r="F44" s="128">
        <v>153615</v>
      </c>
      <c r="G44" s="130">
        <v>152638</v>
      </c>
      <c r="H44" t="s">
        <v>154</v>
      </c>
    </row>
    <row r="45" spans="1:8" x14ac:dyDescent="0.25">
      <c r="A45" s="53">
        <v>415376</v>
      </c>
      <c r="B45" s="128">
        <v>88516</v>
      </c>
      <c r="C45" s="130">
        <v>87953</v>
      </c>
      <c r="D45" s="129" t="s">
        <v>154</v>
      </c>
      <c r="E45" s="53">
        <v>520405</v>
      </c>
      <c r="F45" s="128">
        <v>152638</v>
      </c>
      <c r="G45" s="130">
        <v>151665</v>
      </c>
      <c r="H45" t="s">
        <v>154</v>
      </c>
    </row>
    <row r="46" spans="1:8" x14ac:dyDescent="0.25">
      <c r="A46" s="53">
        <v>415646</v>
      </c>
      <c r="B46" s="128">
        <v>87953</v>
      </c>
      <c r="C46" s="130">
        <v>87393</v>
      </c>
      <c r="D46" s="129" t="s">
        <v>154</v>
      </c>
      <c r="E46" s="53">
        <v>520744</v>
      </c>
      <c r="F46" s="128">
        <v>151665</v>
      </c>
      <c r="G46" s="130">
        <v>150703</v>
      </c>
      <c r="H46" t="s">
        <v>154</v>
      </c>
    </row>
    <row r="47" spans="1:8" x14ac:dyDescent="0.25">
      <c r="A47" s="53">
        <v>415914</v>
      </c>
      <c r="B47" s="128">
        <v>87393</v>
      </c>
      <c r="C47" s="130">
        <v>86835</v>
      </c>
      <c r="D47" s="129" t="s">
        <v>154</v>
      </c>
      <c r="E47" s="53">
        <v>521079</v>
      </c>
      <c r="F47" s="128">
        <v>150703</v>
      </c>
      <c r="G47" s="130">
        <v>149738</v>
      </c>
      <c r="H47" t="s">
        <v>154</v>
      </c>
    </row>
    <row r="48" spans="1:8" x14ac:dyDescent="0.25">
      <c r="A48" s="53">
        <v>416184</v>
      </c>
      <c r="B48" s="128">
        <v>86835</v>
      </c>
      <c r="C48" s="130">
        <v>86279</v>
      </c>
      <c r="D48" s="129" t="s">
        <v>154</v>
      </c>
      <c r="E48" s="53">
        <v>521418</v>
      </c>
      <c r="F48" s="128">
        <v>149738</v>
      </c>
      <c r="G48" s="130">
        <v>148776</v>
      </c>
      <c r="H48" t="s">
        <v>154</v>
      </c>
    </row>
    <row r="49" spans="1:8" x14ac:dyDescent="0.25">
      <c r="A49" s="53">
        <v>416454</v>
      </c>
      <c r="B49" s="128">
        <v>86279</v>
      </c>
      <c r="C49" s="130">
        <v>85726</v>
      </c>
      <c r="D49" s="129" t="s">
        <v>154</v>
      </c>
      <c r="E49" s="53">
        <v>521756</v>
      </c>
      <c r="F49" s="128">
        <v>148776</v>
      </c>
      <c r="G49" s="130">
        <v>147825</v>
      </c>
      <c r="H49" t="s">
        <v>154</v>
      </c>
    </row>
    <row r="50" spans="1:8" x14ac:dyDescent="0.25">
      <c r="A50" s="53">
        <v>416722</v>
      </c>
      <c r="B50" s="128">
        <v>85726</v>
      </c>
      <c r="C50" s="130">
        <v>85170</v>
      </c>
      <c r="D50" s="129" t="s">
        <v>154</v>
      </c>
      <c r="E50" s="53">
        <v>522092</v>
      </c>
      <c r="F50" s="128">
        <v>147825</v>
      </c>
      <c r="G50" s="130">
        <v>146871</v>
      </c>
      <c r="H50" t="s">
        <v>154</v>
      </c>
    </row>
    <row r="51" spans="1:8" x14ac:dyDescent="0.25">
      <c r="A51" s="53">
        <v>416992</v>
      </c>
      <c r="B51" s="128">
        <v>85170</v>
      </c>
      <c r="C51" s="130">
        <v>84621</v>
      </c>
      <c r="D51" s="129" t="s">
        <v>154</v>
      </c>
      <c r="E51" s="53">
        <v>522430</v>
      </c>
      <c r="F51" s="128">
        <v>146871</v>
      </c>
      <c r="G51" s="130">
        <v>145923</v>
      </c>
      <c r="H51" t="s">
        <v>154</v>
      </c>
    </row>
    <row r="52" spans="1:8" x14ac:dyDescent="0.25">
      <c r="A52" s="53">
        <v>417261</v>
      </c>
      <c r="B52" s="128">
        <v>84621</v>
      </c>
      <c r="C52" s="130">
        <v>84074</v>
      </c>
      <c r="D52" s="129" t="s">
        <v>154</v>
      </c>
      <c r="E52" s="53">
        <v>522767</v>
      </c>
      <c r="F52" s="128">
        <v>145923</v>
      </c>
      <c r="G52" s="130">
        <v>144975</v>
      </c>
      <c r="H52" t="s">
        <v>154</v>
      </c>
    </row>
    <row r="53" spans="1:8" x14ac:dyDescent="0.25">
      <c r="A53" s="53">
        <v>417531</v>
      </c>
      <c r="B53" s="128">
        <v>84074</v>
      </c>
      <c r="C53" s="130">
        <v>83528</v>
      </c>
      <c r="D53" s="129" t="s">
        <v>154</v>
      </c>
      <c r="E53" s="53">
        <v>523105</v>
      </c>
      <c r="F53" s="128">
        <v>144975</v>
      </c>
      <c r="G53" s="130">
        <v>144030</v>
      </c>
      <c r="H53" t="s">
        <v>154</v>
      </c>
    </row>
    <row r="54" spans="1:8" x14ac:dyDescent="0.25">
      <c r="A54" s="53">
        <v>417801</v>
      </c>
      <c r="B54" s="128">
        <v>83528</v>
      </c>
      <c r="C54" s="130">
        <v>82981</v>
      </c>
      <c r="D54" s="129" t="s">
        <v>154</v>
      </c>
      <c r="E54" s="53">
        <v>523444</v>
      </c>
      <c r="F54" s="128">
        <v>144030</v>
      </c>
      <c r="G54" s="130">
        <v>143095</v>
      </c>
      <c r="H54" t="s">
        <v>154</v>
      </c>
    </row>
    <row r="55" spans="1:8" x14ac:dyDescent="0.25">
      <c r="A55" s="53">
        <v>418069</v>
      </c>
      <c r="B55" s="128">
        <v>82981</v>
      </c>
      <c r="C55" s="130">
        <v>82439</v>
      </c>
      <c r="D55" s="129" t="s">
        <v>154</v>
      </c>
      <c r="E55" s="53">
        <v>523779</v>
      </c>
      <c r="F55" s="128">
        <v>143095</v>
      </c>
      <c r="G55" s="130">
        <v>142157</v>
      </c>
      <c r="H55" t="s">
        <v>154</v>
      </c>
    </row>
    <row r="56" spans="1:8" x14ac:dyDescent="0.25">
      <c r="A56" s="53">
        <v>418339</v>
      </c>
      <c r="B56" s="128">
        <v>82439</v>
      </c>
      <c r="C56" s="130">
        <v>81897</v>
      </c>
      <c r="D56" s="129" t="s">
        <v>154</v>
      </c>
      <c r="E56" s="53">
        <v>524118</v>
      </c>
      <c r="F56" s="128">
        <v>142157</v>
      </c>
      <c r="G56" s="130">
        <v>141221</v>
      </c>
      <c r="H56" t="s">
        <v>154</v>
      </c>
    </row>
    <row r="57" spans="1:8" x14ac:dyDescent="0.25">
      <c r="A57" s="53">
        <v>418609</v>
      </c>
      <c r="B57" s="128">
        <v>81897</v>
      </c>
      <c r="C57" s="130">
        <v>81359</v>
      </c>
      <c r="D57" s="129" t="s">
        <v>154</v>
      </c>
      <c r="E57" s="53">
        <v>524456</v>
      </c>
      <c r="F57" s="128">
        <v>141221</v>
      </c>
      <c r="G57" s="130">
        <v>140295</v>
      </c>
      <c r="H57" t="s">
        <v>154</v>
      </c>
    </row>
    <row r="58" spans="1:8" x14ac:dyDescent="0.25">
      <c r="A58" s="53">
        <v>418877</v>
      </c>
      <c r="B58" s="128">
        <v>81359</v>
      </c>
      <c r="C58" s="130">
        <v>80821</v>
      </c>
      <c r="D58" s="129" t="s">
        <v>154</v>
      </c>
      <c r="E58" s="53">
        <v>524792</v>
      </c>
      <c r="F58" s="128">
        <v>140295</v>
      </c>
      <c r="G58" s="130">
        <v>139366</v>
      </c>
      <c r="H58" t="s">
        <v>154</v>
      </c>
    </row>
    <row r="59" spans="1:8" x14ac:dyDescent="0.25">
      <c r="A59" s="53">
        <v>419147</v>
      </c>
      <c r="B59" s="128">
        <v>80821</v>
      </c>
      <c r="C59" s="130">
        <v>80284</v>
      </c>
      <c r="D59" s="129" t="s">
        <v>154</v>
      </c>
      <c r="E59" s="53">
        <v>525130</v>
      </c>
      <c r="F59" s="128">
        <v>139366</v>
      </c>
      <c r="G59" s="130">
        <v>138442</v>
      </c>
      <c r="H59" t="s">
        <v>154</v>
      </c>
    </row>
    <row r="60" spans="1:8" x14ac:dyDescent="0.25">
      <c r="A60" s="53">
        <v>419416</v>
      </c>
      <c r="B60" s="128">
        <v>80284</v>
      </c>
      <c r="C60" s="130">
        <v>79748</v>
      </c>
      <c r="D60" s="129" t="s">
        <v>154</v>
      </c>
      <c r="E60" s="53">
        <v>525467</v>
      </c>
      <c r="F60" s="128">
        <v>138442</v>
      </c>
      <c r="G60" s="130">
        <v>137518</v>
      </c>
      <c r="H60" t="s">
        <v>154</v>
      </c>
    </row>
    <row r="61" spans="1:8" x14ac:dyDescent="0.25">
      <c r="A61" s="53">
        <v>419686</v>
      </c>
      <c r="B61" s="128">
        <v>79748</v>
      </c>
      <c r="C61" s="130">
        <v>79215</v>
      </c>
      <c r="D61" s="129" t="s">
        <v>154</v>
      </c>
      <c r="E61" s="53">
        <v>525805</v>
      </c>
      <c r="F61" s="128">
        <v>137518</v>
      </c>
      <c r="G61" s="130">
        <v>136597</v>
      </c>
      <c r="H61" t="s">
        <v>154</v>
      </c>
    </row>
    <row r="62" spans="1:8" x14ac:dyDescent="0.25">
      <c r="A62" s="53">
        <v>419956</v>
      </c>
      <c r="B62" s="128">
        <v>79215</v>
      </c>
      <c r="C62" s="130">
        <v>78684</v>
      </c>
      <c r="D62" s="129" t="s">
        <v>154</v>
      </c>
      <c r="E62" s="53">
        <v>526143</v>
      </c>
      <c r="F62" s="128">
        <v>136597</v>
      </c>
      <c r="G62" s="130">
        <v>135685</v>
      </c>
      <c r="H62" t="s">
        <v>154</v>
      </c>
    </row>
    <row r="63" spans="1:8" x14ac:dyDescent="0.25">
      <c r="A63" s="53">
        <v>420224</v>
      </c>
      <c r="B63" s="128">
        <v>78684</v>
      </c>
      <c r="C63" s="130">
        <v>78154</v>
      </c>
      <c r="D63" s="129" t="s">
        <v>154</v>
      </c>
      <c r="E63" s="53">
        <v>526479</v>
      </c>
      <c r="F63" s="128">
        <v>135685</v>
      </c>
      <c r="G63" s="130">
        <v>134768</v>
      </c>
      <c r="H63" t="s">
        <v>154</v>
      </c>
    </row>
    <row r="64" spans="1:8" x14ac:dyDescent="0.25">
      <c r="A64" s="53">
        <v>420494</v>
      </c>
      <c r="B64" s="128">
        <v>78154</v>
      </c>
      <c r="C64" s="130">
        <v>77625</v>
      </c>
      <c r="D64" s="129" t="s">
        <v>154</v>
      </c>
      <c r="E64" s="53">
        <v>526817</v>
      </c>
      <c r="F64" s="128">
        <v>134768</v>
      </c>
      <c r="G64" s="130">
        <v>133855</v>
      </c>
      <c r="H64" t="s">
        <v>154</v>
      </c>
    </row>
    <row r="65" spans="1:8" x14ac:dyDescent="0.25">
      <c r="A65" s="53">
        <v>420764</v>
      </c>
      <c r="B65" s="128">
        <v>77625</v>
      </c>
      <c r="C65" s="130">
        <v>77097</v>
      </c>
      <c r="D65" s="129" t="s">
        <v>154</v>
      </c>
      <c r="E65" s="53">
        <v>527156</v>
      </c>
      <c r="F65" s="128">
        <v>133855</v>
      </c>
      <c r="G65" s="130">
        <v>132950</v>
      </c>
      <c r="H65" t="s">
        <v>154</v>
      </c>
    </row>
    <row r="66" spans="1:8" x14ac:dyDescent="0.25">
      <c r="A66" s="53">
        <v>421032</v>
      </c>
      <c r="B66" s="128">
        <v>77097</v>
      </c>
      <c r="C66" s="130">
        <v>76573</v>
      </c>
      <c r="D66" s="129" t="s">
        <v>154</v>
      </c>
      <c r="E66" s="53">
        <v>527491</v>
      </c>
      <c r="F66" s="128">
        <v>132950</v>
      </c>
      <c r="G66" s="130">
        <v>132042</v>
      </c>
      <c r="H66" t="s">
        <v>154</v>
      </c>
    </row>
    <row r="67" spans="1:8" x14ac:dyDescent="0.25">
      <c r="A67" s="53">
        <v>421302</v>
      </c>
      <c r="B67" s="128">
        <v>76573</v>
      </c>
      <c r="C67" s="130">
        <v>76047</v>
      </c>
      <c r="D67" s="129" t="s">
        <v>154</v>
      </c>
      <c r="E67" s="53">
        <v>527830</v>
      </c>
      <c r="F67" s="128">
        <v>132042</v>
      </c>
      <c r="G67" s="130">
        <v>131139</v>
      </c>
      <c r="H67" t="s">
        <v>154</v>
      </c>
    </row>
    <row r="68" spans="1:8" x14ac:dyDescent="0.25">
      <c r="A68" s="53">
        <v>421571</v>
      </c>
      <c r="B68" s="128">
        <v>76047</v>
      </c>
      <c r="C68" s="130">
        <v>75525</v>
      </c>
      <c r="D68" s="129" t="s">
        <v>154</v>
      </c>
      <c r="E68" s="53">
        <v>528167</v>
      </c>
      <c r="F68" s="128">
        <v>131139</v>
      </c>
      <c r="G68" s="130">
        <v>130235</v>
      </c>
      <c r="H68" t="s">
        <v>154</v>
      </c>
    </row>
    <row r="69" spans="1:8" x14ac:dyDescent="0.25">
      <c r="A69" s="53">
        <v>421841</v>
      </c>
      <c r="B69" s="128">
        <v>75525</v>
      </c>
      <c r="C69" s="130">
        <v>75005</v>
      </c>
      <c r="D69" s="129" t="s">
        <v>154</v>
      </c>
      <c r="E69" s="53">
        <v>528505</v>
      </c>
      <c r="F69" s="128">
        <v>130235</v>
      </c>
      <c r="G69" s="130">
        <v>129333</v>
      </c>
      <c r="H69" t="s">
        <v>154</v>
      </c>
    </row>
    <row r="70" spans="1:8" x14ac:dyDescent="0.25">
      <c r="A70" s="53">
        <v>422111</v>
      </c>
      <c r="B70" s="128">
        <v>75005</v>
      </c>
      <c r="C70" s="130">
        <v>74484</v>
      </c>
      <c r="D70" s="129" t="s">
        <v>154</v>
      </c>
      <c r="E70" s="53">
        <v>528843</v>
      </c>
      <c r="F70" s="128">
        <v>129333</v>
      </c>
      <c r="G70" s="130">
        <v>128440</v>
      </c>
      <c r="H70" t="s">
        <v>154</v>
      </c>
    </row>
    <row r="71" spans="1:8" x14ac:dyDescent="0.25">
      <c r="A71" s="53">
        <v>422379</v>
      </c>
      <c r="B71" s="128">
        <v>74484</v>
      </c>
      <c r="C71" s="130">
        <v>73964</v>
      </c>
      <c r="D71" s="129" t="s">
        <v>154</v>
      </c>
      <c r="E71" s="53">
        <v>529179</v>
      </c>
      <c r="F71" s="128">
        <v>128440</v>
      </c>
      <c r="G71" s="130">
        <v>127543</v>
      </c>
      <c r="H71" t="s">
        <v>154</v>
      </c>
    </row>
    <row r="72" spans="1:8" x14ac:dyDescent="0.25">
      <c r="A72" s="53">
        <v>422649</v>
      </c>
      <c r="B72" s="128">
        <v>73964</v>
      </c>
      <c r="C72" s="130">
        <v>73447</v>
      </c>
      <c r="D72" s="129" t="s">
        <v>154</v>
      </c>
      <c r="E72" s="53">
        <v>529517</v>
      </c>
      <c r="F72" s="128">
        <v>127543</v>
      </c>
      <c r="G72" s="130">
        <v>126648</v>
      </c>
      <c r="H72" t="s">
        <v>154</v>
      </c>
    </row>
    <row r="73" spans="1:8" x14ac:dyDescent="0.25">
      <c r="A73" s="53">
        <v>422919</v>
      </c>
      <c r="B73" s="128">
        <v>73447</v>
      </c>
      <c r="C73" s="130">
        <v>72930</v>
      </c>
      <c r="D73" s="129" t="s">
        <v>154</v>
      </c>
      <c r="E73" s="53">
        <v>529856</v>
      </c>
      <c r="F73" s="128">
        <v>126648</v>
      </c>
      <c r="G73" s="130">
        <v>125762</v>
      </c>
      <c r="H73" t="s">
        <v>154</v>
      </c>
    </row>
    <row r="74" spans="1:8" x14ac:dyDescent="0.25">
      <c r="A74" s="53">
        <v>423187</v>
      </c>
      <c r="B74" s="128">
        <v>72930</v>
      </c>
      <c r="C74" s="130">
        <v>72415</v>
      </c>
      <c r="D74" s="129" t="s">
        <v>154</v>
      </c>
      <c r="E74" s="53">
        <v>530191</v>
      </c>
      <c r="F74" s="128">
        <v>125762</v>
      </c>
      <c r="G74" s="130">
        <v>124872</v>
      </c>
      <c r="H74" t="s">
        <v>154</v>
      </c>
    </row>
    <row r="75" spans="1:8" x14ac:dyDescent="0.25">
      <c r="A75" s="53">
        <v>423457</v>
      </c>
      <c r="B75" s="128">
        <v>72415</v>
      </c>
      <c r="C75" s="130">
        <v>71902</v>
      </c>
      <c r="D75" s="129" t="s">
        <v>154</v>
      </c>
      <c r="E75" s="53">
        <v>530530</v>
      </c>
      <c r="F75" s="128">
        <v>124872</v>
      </c>
      <c r="G75" s="130">
        <v>123987</v>
      </c>
      <c r="H75" t="s">
        <v>154</v>
      </c>
    </row>
    <row r="76" spans="1:8" x14ac:dyDescent="0.25">
      <c r="A76" s="53">
        <v>423726</v>
      </c>
      <c r="B76" s="128">
        <v>71902</v>
      </c>
      <c r="C76" s="130">
        <v>71387</v>
      </c>
      <c r="D76" s="129" t="s">
        <v>154</v>
      </c>
      <c r="E76" s="53">
        <v>530867</v>
      </c>
      <c r="F76" s="128">
        <v>123987</v>
      </c>
      <c r="G76" s="130">
        <v>123100</v>
      </c>
      <c r="H76" t="s">
        <v>154</v>
      </c>
    </row>
    <row r="77" spans="1:8" x14ac:dyDescent="0.25">
      <c r="A77" s="53">
        <v>423996</v>
      </c>
      <c r="B77" s="128">
        <v>71387</v>
      </c>
      <c r="C77" s="130">
        <v>70875</v>
      </c>
      <c r="D77" s="129" t="s">
        <v>154</v>
      </c>
      <c r="E77" s="53">
        <v>531205</v>
      </c>
      <c r="F77" s="128">
        <v>123100</v>
      </c>
      <c r="G77" s="130">
        <v>122216</v>
      </c>
      <c r="H77" t="s">
        <v>154</v>
      </c>
    </row>
    <row r="78" spans="1:8" x14ac:dyDescent="0.25">
      <c r="A78" s="53">
        <v>424266</v>
      </c>
      <c r="B78" s="128">
        <v>70875</v>
      </c>
      <c r="C78" s="130">
        <v>70366</v>
      </c>
      <c r="D78" s="129" t="s">
        <v>154</v>
      </c>
      <c r="E78" s="53">
        <v>531543</v>
      </c>
      <c r="F78" s="128">
        <v>122216</v>
      </c>
      <c r="G78" s="130">
        <v>121340</v>
      </c>
      <c r="H78" t="s">
        <v>154</v>
      </c>
    </row>
    <row r="79" spans="1:8" x14ac:dyDescent="0.25">
      <c r="A79" s="53">
        <v>424534</v>
      </c>
      <c r="B79" s="128">
        <v>70366</v>
      </c>
      <c r="C79" s="130">
        <v>69856</v>
      </c>
      <c r="D79" s="129" t="s">
        <v>154</v>
      </c>
      <c r="E79" s="53">
        <v>531879</v>
      </c>
      <c r="F79" s="128">
        <v>121340</v>
      </c>
      <c r="G79" s="130">
        <v>120460</v>
      </c>
      <c r="H79" t="s">
        <v>154</v>
      </c>
    </row>
    <row r="80" spans="1:8" x14ac:dyDescent="0.25">
      <c r="A80" s="53">
        <v>424804</v>
      </c>
      <c r="B80" s="128">
        <v>69856</v>
      </c>
      <c r="C80" s="130">
        <v>69348</v>
      </c>
      <c r="D80" s="129" t="s">
        <v>154</v>
      </c>
      <c r="E80" s="53">
        <v>532217</v>
      </c>
      <c r="F80" s="128">
        <v>120460</v>
      </c>
      <c r="G80" s="130">
        <v>119581</v>
      </c>
      <c r="H80" t="s">
        <v>154</v>
      </c>
    </row>
    <row r="81" spans="1:8" x14ac:dyDescent="0.25">
      <c r="A81" s="53">
        <v>425074</v>
      </c>
      <c r="B81" s="128">
        <v>69348</v>
      </c>
      <c r="C81" s="130">
        <v>68842</v>
      </c>
      <c r="D81" s="129" t="s">
        <v>154</v>
      </c>
      <c r="E81" s="53">
        <v>532556</v>
      </c>
      <c r="F81" s="128">
        <v>119581</v>
      </c>
      <c r="G81" s="130">
        <v>118711</v>
      </c>
      <c r="H81" t="s">
        <v>154</v>
      </c>
    </row>
    <row r="82" spans="1:8" x14ac:dyDescent="0.25">
      <c r="A82" s="53">
        <v>425342</v>
      </c>
      <c r="B82" s="128">
        <v>68842</v>
      </c>
      <c r="C82" s="130">
        <v>68334</v>
      </c>
      <c r="D82" s="129" t="s">
        <v>154</v>
      </c>
      <c r="E82" s="53">
        <v>532891</v>
      </c>
      <c r="F82" s="128">
        <v>118711</v>
      </c>
      <c r="G82" s="130">
        <v>117836</v>
      </c>
      <c r="H82" t="s">
        <v>154</v>
      </c>
    </row>
    <row r="83" spans="1:8" x14ac:dyDescent="0.25">
      <c r="A83" s="53">
        <v>425612</v>
      </c>
      <c r="B83" s="128">
        <v>68334</v>
      </c>
      <c r="C83" s="130">
        <v>67832</v>
      </c>
      <c r="D83" s="129" t="s">
        <v>154</v>
      </c>
      <c r="E83" s="53">
        <v>533230</v>
      </c>
      <c r="F83" s="128">
        <v>117836</v>
      </c>
      <c r="G83" s="130">
        <v>116967</v>
      </c>
      <c r="H83" t="s">
        <v>154</v>
      </c>
    </row>
    <row r="84" spans="1:8" x14ac:dyDescent="0.25">
      <c r="A84" s="53">
        <v>425881</v>
      </c>
      <c r="B84" s="128">
        <v>67832</v>
      </c>
      <c r="C84" s="130">
        <v>67327</v>
      </c>
      <c r="D84" s="129" t="s">
        <v>154</v>
      </c>
      <c r="E84" s="53">
        <v>533567</v>
      </c>
      <c r="F84" s="128">
        <v>116967</v>
      </c>
      <c r="G84" s="130">
        <v>116096</v>
      </c>
      <c r="H84" t="s">
        <v>154</v>
      </c>
    </row>
    <row r="85" spans="1:8" x14ac:dyDescent="0.25">
      <c r="A85" s="53">
        <v>426151</v>
      </c>
      <c r="B85" s="128">
        <v>67327</v>
      </c>
      <c r="C85" s="130">
        <v>66823</v>
      </c>
      <c r="D85" s="129" t="s">
        <v>154</v>
      </c>
      <c r="E85" s="53">
        <v>533905</v>
      </c>
      <c r="F85" s="128">
        <v>116096</v>
      </c>
      <c r="G85" s="130">
        <v>115227</v>
      </c>
      <c r="H85" t="s">
        <v>154</v>
      </c>
    </row>
    <row r="86" spans="1:8" x14ac:dyDescent="0.25">
      <c r="A86" s="53">
        <v>426421</v>
      </c>
      <c r="B86" s="128">
        <v>66823</v>
      </c>
      <c r="C86" s="130">
        <v>66322</v>
      </c>
      <c r="D86" s="129" t="s">
        <v>154</v>
      </c>
      <c r="E86" s="53">
        <v>534243</v>
      </c>
      <c r="F86" s="128">
        <v>115227</v>
      </c>
      <c r="G86" s="130">
        <v>114366</v>
      </c>
      <c r="H86" t="s">
        <v>154</v>
      </c>
    </row>
    <row r="87" spans="1:8" x14ac:dyDescent="0.25">
      <c r="A87" s="53">
        <v>426689</v>
      </c>
      <c r="B87" s="128">
        <v>66322</v>
      </c>
      <c r="C87" s="130">
        <v>65822</v>
      </c>
      <c r="D87" s="129" t="s">
        <v>154</v>
      </c>
      <c r="E87" s="53">
        <v>534579</v>
      </c>
      <c r="F87" s="128">
        <v>114366</v>
      </c>
      <c r="G87" s="130">
        <v>113500</v>
      </c>
      <c r="H87" t="s">
        <v>154</v>
      </c>
    </row>
    <row r="88" spans="1:8" x14ac:dyDescent="0.25">
      <c r="A88" s="53">
        <v>426959</v>
      </c>
      <c r="B88" s="128">
        <v>65822</v>
      </c>
      <c r="C88" s="130">
        <v>65321</v>
      </c>
      <c r="D88" s="129" t="s">
        <v>154</v>
      </c>
      <c r="E88" s="53">
        <v>534917</v>
      </c>
      <c r="F88" s="128">
        <v>113500</v>
      </c>
      <c r="G88" s="130">
        <v>112636</v>
      </c>
      <c r="H88" t="s">
        <v>154</v>
      </c>
    </row>
    <row r="89" spans="1:8" x14ac:dyDescent="0.25">
      <c r="A89" s="53">
        <v>427229</v>
      </c>
      <c r="B89" s="128">
        <v>65321</v>
      </c>
      <c r="C89" s="130">
        <v>64822</v>
      </c>
      <c r="D89" s="129" t="s">
        <v>154</v>
      </c>
      <c r="E89" s="53">
        <v>535255</v>
      </c>
      <c r="F89" s="128">
        <v>112636</v>
      </c>
      <c r="G89" s="130">
        <v>111780</v>
      </c>
      <c r="H89" t="s">
        <v>154</v>
      </c>
    </row>
    <row r="90" spans="1:8" x14ac:dyDescent="0.25">
      <c r="A90" s="53">
        <v>427497</v>
      </c>
      <c r="B90" s="128">
        <v>64822</v>
      </c>
      <c r="C90" s="130">
        <v>64325</v>
      </c>
      <c r="D90" s="129" t="s">
        <v>154</v>
      </c>
      <c r="E90" s="53">
        <v>535591</v>
      </c>
      <c r="F90" s="128">
        <v>111780</v>
      </c>
      <c r="G90" s="130">
        <v>110920</v>
      </c>
      <c r="H90" t="s">
        <v>154</v>
      </c>
    </row>
    <row r="91" spans="1:8" x14ac:dyDescent="0.25">
      <c r="A91" s="53">
        <v>427767</v>
      </c>
      <c r="B91" s="128">
        <v>64325</v>
      </c>
      <c r="C91" s="130">
        <v>63827</v>
      </c>
      <c r="D91" s="129" t="s">
        <v>154</v>
      </c>
      <c r="E91" s="53">
        <v>535929</v>
      </c>
      <c r="F91" s="128">
        <v>110920</v>
      </c>
      <c r="G91" s="130">
        <v>110064</v>
      </c>
      <c r="H91" t="s">
        <v>154</v>
      </c>
    </row>
    <row r="92" spans="1:8" x14ac:dyDescent="0.25">
      <c r="A92" s="53">
        <v>428036</v>
      </c>
      <c r="B92" s="128">
        <v>63827</v>
      </c>
      <c r="C92" s="130">
        <v>63332</v>
      </c>
      <c r="D92" s="129" t="s">
        <v>154</v>
      </c>
      <c r="E92" s="53">
        <v>536266</v>
      </c>
      <c r="F92" s="128">
        <v>110064</v>
      </c>
      <c r="G92" s="130">
        <v>109207</v>
      </c>
      <c r="H92" t="s">
        <v>154</v>
      </c>
    </row>
    <row r="93" spans="1:8" x14ac:dyDescent="0.25">
      <c r="A93" s="53">
        <v>428306</v>
      </c>
      <c r="B93" s="128">
        <v>63332</v>
      </c>
      <c r="C93" s="130">
        <v>62837</v>
      </c>
      <c r="D93" s="129" t="s">
        <v>154</v>
      </c>
      <c r="E93" s="53">
        <v>536605</v>
      </c>
      <c r="F93" s="128">
        <v>109207</v>
      </c>
      <c r="G93" s="130">
        <v>108351</v>
      </c>
      <c r="H93" t="s">
        <v>154</v>
      </c>
    </row>
    <row r="94" spans="1:8" x14ac:dyDescent="0.25">
      <c r="A94" s="53">
        <v>428576</v>
      </c>
      <c r="B94" s="128">
        <v>62837</v>
      </c>
      <c r="C94" s="130">
        <v>62341</v>
      </c>
      <c r="D94" s="129" t="s">
        <v>154</v>
      </c>
      <c r="E94" s="53">
        <v>536943</v>
      </c>
      <c r="F94" s="128">
        <v>108351</v>
      </c>
      <c r="G94" s="130">
        <v>107504</v>
      </c>
      <c r="H94" t="s">
        <v>154</v>
      </c>
    </row>
    <row r="95" spans="1:8" x14ac:dyDescent="0.25">
      <c r="A95" s="53">
        <v>428844</v>
      </c>
      <c r="B95" s="128">
        <v>62341</v>
      </c>
      <c r="C95" s="130">
        <v>61848</v>
      </c>
      <c r="D95" s="129" t="s">
        <v>154</v>
      </c>
      <c r="E95" s="53">
        <v>537279</v>
      </c>
      <c r="F95" s="128">
        <v>107504</v>
      </c>
      <c r="G95" s="130">
        <v>106651</v>
      </c>
      <c r="H95" t="s">
        <v>154</v>
      </c>
    </row>
    <row r="96" spans="1:8" x14ac:dyDescent="0.25">
      <c r="A96" s="53">
        <v>429114</v>
      </c>
      <c r="B96" s="128">
        <v>61848</v>
      </c>
      <c r="C96" s="130">
        <v>61358</v>
      </c>
      <c r="D96" s="129" t="s">
        <v>154</v>
      </c>
      <c r="E96" s="53">
        <v>537617</v>
      </c>
      <c r="F96" s="128">
        <v>106651</v>
      </c>
      <c r="G96" s="130">
        <v>105801</v>
      </c>
      <c r="H96" t="s">
        <v>154</v>
      </c>
    </row>
    <row r="97" spans="1:8" x14ac:dyDescent="0.25">
      <c r="A97" s="53">
        <v>429384</v>
      </c>
      <c r="B97" s="128">
        <v>61358</v>
      </c>
      <c r="C97" s="130">
        <v>60866</v>
      </c>
      <c r="D97" s="129" t="s">
        <v>154</v>
      </c>
      <c r="E97" s="53">
        <v>537955</v>
      </c>
      <c r="F97" s="128">
        <v>105801</v>
      </c>
      <c r="G97" s="130">
        <v>104957</v>
      </c>
      <c r="H97" t="s">
        <v>154</v>
      </c>
    </row>
    <row r="98" spans="1:8" x14ac:dyDescent="0.25">
      <c r="A98" s="53">
        <v>429652</v>
      </c>
      <c r="B98" s="128">
        <v>60866</v>
      </c>
      <c r="C98" s="130">
        <v>60374</v>
      </c>
      <c r="D98" s="129" t="s">
        <v>154</v>
      </c>
      <c r="E98" s="53">
        <v>538291</v>
      </c>
      <c r="F98" s="128">
        <v>104957</v>
      </c>
      <c r="G98" s="130">
        <v>104110</v>
      </c>
      <c r="H98" t="s">
        <v>154</v>
      </c>
    </row>
    <row r="99" spans="1:8" x14ac:dyDescent="0.25">
      <c r="A99" s="53">
        <v>429922</v>
      </c>
      <c r="B99" s="128">
        <v>60374</v>
      </c>
      <c r="C99" s="130">
        <v>59884</v>
      </c>
      <c r="D99" s="129" t="s">
        <v>154</v>
      </c>
      <c r="E99" s="53">
        <v>538629</v>
      </c>
      <c r="F99" s="128">
        <v>104110</v>
      </c>
      <c r="G99" s="130">
        <v>103266</v>
      </c>
      <c r="H99" t="s">
        <v>154</v>
      </c>
    </row>
    <row r="100" spans="1:8" x14ac:dyDescent="0.25">
      <c r="A100" s="53">
        <v>430191</v>
      </c>
      <c r="B100" s="128">
        <v>59884</v>
      </c>
      <c r="C100" s="130">
        <v>59398</v>
      </c>
      <c r="D100" s="129" t="s">
        <v>154</v>
      </c>
      <c r="E100" s="53">
        <v>538966</v>
      </c>
      <c r="F100" s="128">
        <v>103266</v>
      </c>
      <c r="G100" s="130">
        <v>102422</v>
      </c>
      <c r="H100" t="s">
        <v>154</v>
      </c>
    </row>
    <row r="101" spans="1:8" x14ac:dyDescent="0.25">
      <c r="A101" s="53">
        <v>430461</v>
      </c>
      <c r="B101" s="128">
        <v>59398</v>
      </c>
      <c r="C101" s="130">
        <v>58909</v>
      </c>
      <c r="D101" s="129" t="s">
        <v>154</v>
      </c>
      <c r="E101" s="53">
        <v>539305</v>
      </c>
      <c r="F101" s="128">
        <v>102422</v>
      </c>
      <c r="G101" s="130">
        <v>101578</v>
      </c>
      <c r="H101" t="s">
        <v>154</v>
      </c>
    </row>
    <row r="102" spans="1:8" x14ac:dyDescent="0.25">
      <c r="A102" s="53">
        <v>430731</v>
      </c>
      <c r="B102" s="128">
        <v>58909</v>
      </c>
      <c r="C102" s="130">
        <v>58421</v>
      </c>
      <c r="D102" s="129" t="s">
        <v>154</v>
      </c>
      <c r="E102" s="53">
        <v>539643</v>
      </c>
      <c r="F102" s="128">
        <v>101578</v>
      </c>
      <c r="G102" s="130">
        <v>100743</v>
      </c>
      <c r="H102" t="s">
        <v>154</v>
      </c>
    </row>
    <row r="103" spans="1:8" x14ac:dyDescent="0.25">
      <c r="A103" s="53">
        <v>430999</v>
      </c>
      <c r="B103" s="128">
        <v>58421</v>
      </c>
      <c r="C103" s="130">
        <v>57935</v>
      </c>
      <c r="D103" s="129" t="s">
        <v>154</v>
      </c>
      <c r="E103" s="53">
        <v>539979</v>
      </c>
      <c r="F103" s="128">
        <v>100743</v>
      </c>
      <c r="G103" s="130">
        <v>99902</v>
      </c>
      <c r="H103" t="s">
        <v>154</v>
      </c>
    </row>
    <row r="104" spans="1:8" x14ac:dyDescent="0.25">
      <c r="A104" s="53">
        <v>431269</v>
      </c>
      <c r="B104" s="128">
        <v>57935</v>
      </c>
      <c r="C104" s="130">
        <v>57450</v>
      </c>
      <c r="D104" s="129" t="s">
        <v>154</v>
      </c>
      <c r="E104" s="53">
        <v>540317</v>
      </c>
      <c r="F104" s="128">
        <v>99902</v>
      </c>
      <c r="G104" s="130">
        <v>99063</v>
      </c>
      <c r="H104" t="s">
        <v>154</v>
      </c>
    </row>
    <row r="105" spans="1:8" x14ac:dyDescent="0.25">
      <c r="A105" s="53">
        <v>431539</v>
      </c>
      <c r="B105" s="128">
        <v>57450</v>
      </c>
      <c r="C105" s="130">
        <v>56965</v>
      </c>
      <c r="D105" s="129" t="s">
        <v>154</v>
      </c>
      <c r="E105" s="53">
        <v>540655</v>
      </c>
      <c r="F105" s="128">
        <v>99063</v>
      </c>
      <c r="G105" s="130">
        <v>98232</v>
      </c>
      <c r="H105" t="s">
        <v>154</v>
      </c>
    </row>
    <row r="106" spans="1:8" x14ac:dyDescent="0.25">
      <c r="A106" s="53">
        <v>431807</v>
      </c>
      <c r="B106" s="128">
        <v>56965</v>
      </c>
      <c r="C106" s="130">
        <v>56483</v>
      </c>
      <c r="D106" s="129" t="s">
        <v>154</v>
      </c>
      <c r="E106" s="53">
        <v>540991</v>
      </c>
      <c r="F106" s="128">
        <v>98232</v>
      </c>
      <c r="G106" s="130">
        <v>97395</v>
      </c>
      <c r="H106" t="s">
        <v>154</v>
      </c>
    </row>
    <row r="107" spans="1:8" x14ac:dyDescent="0.25">
      <c r="A107" s="53">
        <v>432077</v>
      </c>
      <c r="B107" s="128">
        <v>56483</v>
      </c>
      <c r="C107" s="130">
        <v>55998</v>
      </c>
      <c r="D107" s="129" t="s">
        <v>154</v>
      </c>
      <c r="E107" s="53">
        <v>541329</v>
      </c>
      <c r="F107" s="128">
        <v>97395</v>
      </c>
      <c r="G107" s="130">
        <v>96563</v>
      </c>
      <c r="H107" t="s">
        <v>154</v>
      </c>
    </row>
    <row r="108" spans="1:8" x14ac:dyDescent="0.25">
      <c r="A108" s="53">
        <v>432346</v>
      </c>
      <c r="B108" s="128">
        <v>55998</v>
      </c>
      <c r="C108" s="130">
        <v>55515</v>
      </c>
      <c r="D108" s="129" t="s">
        <v>154</v>
      </c>
      <c r="E108" s="53">
        <v>541666</v>
      </c>
      <c r="F108" s="128">
        <v>96563</v>
      </c>
      <c r="G108" s="130">
        <v>95730</v>
      </c>
      <c r="H108" t="s">
        <v>154</v>
      </c>
    </row>
    <row r="109" spans="1:8" x14ac:dyDescent="0.25">
      <c r="A109" s="53">
        <v>432616</v>
      </c>
      <c r="B109" s="128">
        <v>55515</v>
      </c>
      <c r="C109" s="130">
        <v>55034</v>
      </c>
      <c r="D109" s="129" t="s">
        <v>154</v>
      </c>
      <c r="E109" s="53">
        <v>542005</v>
      </c>
      <c r="F109" s="128">
        <v>95730</v>
      </c>
      <c r="G109" s="130">
        <v>94898</v>
      </c>
      <c r="H109" t="s">
        <v>154</v>
      </c>
    </row>
    <row r="110" spans="1:8" x14ac:dyDescent="0.25">
      <c r="A110" s="53">
        <v>432886</v>
      </c>
      <c r="B110" s="128">
        <v>55034</v>
      </c>
      <c r="C110" s="130">
        <v>54553</v>
      </c>
      <c r="D110" s="129" t="s">
        <v>154</v>
      </c>
      <c r="E110" s="53">
        <v>542343</v>
      </c>
      <c r="F110" s="128">
        <v>94898</v>
      </c>
      <c r="G110" s="130">
        <v>94073</v>
      </c>
      <c r="H110" t="s">
        <v>154</v>
      </c>
    </row>
    <row r="111" spans="1:8" x14ac:dyDescent="0.25">
      <c r="A111" s="53">
        <v>433154</v>
      </c>
      <c r="B111" s="128">
        <v>54553</v>
      </c>
      <c r="C111" s="130">
        <v>54074</v>
      </c>
      <c r="D111" s="129" t="s">
        <v>154</v>
      </c>
      <c r="E111" s="53">
        <v>542679</v>
      </c>
      <c r="F111" s="128">
        <v>94073</v>
      </c>
      <c r="G111" s="130">
        <v>93243</v>
      </c>
      <c r="H111" t="s">
        <v>154</v>
      </c>
    </row>
    <row r="112" spans="1:8" x14ac:dyDescent="0.25">
      <c r="A112" s="53">
        <v>433424</v>
      </c>
      <c r="B112" s="128">
        <v>54074</v>
      </c>
      <c r="C112" s="130">
        <v>53594</v>
      </c>
      <c r="D112" s="129" t="s">
        <v>154</v>
      </c>
      <c r="E112" s="53">
        <v>543017</v>
      </c>
      <c r="F112" s="128">
        <v>93243</v>
      </c>
      <c r="G112" s="130">
        <v>92415</v>
      </c>
      <c r="H112" t="s">
        <v>154</v>
      </c>
    </row>
    <row r="113" spans="1:8" x14ac:dyDescent="0.25">
      <c r="A113" s="53">
        <v>433694</v>
      </c>
      <c r="B113" s="128">
        <v>53594</v>
      </c>
      <c r="C113" s="130">
        <v>53115</v>
      </c>
      <c r="D113" s="129" t="s">
        <v>154</v>
      </c>
      <c r="E113" s="53">
        <v>543355</v>
      </c>
      <c r="F113" s="128">
        <v>92415</v>
      </c>
      <c r="G113" s="130">
        <v>91594</v>
      </c>
      <c r="H113" t="s">
        <v>154</v>
      </c>
    </row>
    <row r="114" spans="1:8" x14ac:dyDescent="0.25">
      <c r="A114" s="53">
        <v>433962</v>
      </c>
      <c r="B114" s="128">
        <v>53115</v>
      </c>
      <c r="C114" s="130">
        <v>52639</v>
      </c>
      <c r="D114" s="129" t="s">
        <v>154</v>
      </c>
      <c r="E114" s="53">
        <v>543691</v>
      </c>
      <c r="F114" s="128">
        <v>91594</v>
      </c>
      <c r="G114" s="130">
        <v>90768</v>
      </c>
      <c r="H114" t="s">
        <v>154</v>
      </c>
    </row>
    <row r="115" spans="1:8" x14ac:dyDescent="0.25">
      <c r="A115" s="53">
        <v>434232</v>
      </c>
      <c r="B115" s="128">
        <v>52639</v>
      </c>
      <c r="C115" s="130">
        <v>52162</v>
      </c>
      <c r="D115" s="129" t="s">
        <v>154</v>
      </c>
      <c r="E115" s="53">
        <v>544029</v>
      </c>
      <c r="F115" s="128">
        <v>90768</v>
      </c>
      <c r="G115" s="130">
        <v>89947</v>
      </c>
      <c r="H115" t="s">
        <v>154</v>
      </c>
    </row>
    <row r="116" spans="1:8" x14ac:dyDescent="0.25">
      <c r="A116" s="53">
        <v>434501</v>
      </c>
      <c r="B116" s="128">
        <v>52162</v>
      </c>
      <c r="C116" s="130">
        <v>51684</v>
      </c>
      <c r="D116" s="129" t="s">
        <v>154</v>
      </c>
      <c r="E116" s="53">
        <v>544366</v>
      </c>
      <c r="F116" s="128">
        <v>89947</v>
      </c>
      <c r="G116" s="130">
        <v>89124</v>
      </c>
      <c r="H116" t="s">
        <v>154</v>
      </c>
    </row>
    <row r="117" spans="1:8" x14ac:dyDescent="0.25">
      <c r="A117" s="53">
        <v>434771</v>
      </c>
      <c r="B117" s="128">
        <v>51684</v>
      </c>
      <c r="C117" s="130">
        <v>51209</v>
      </c>
      <c r="D117" s="129" t="s">
        <v>154</v>
      </c>
      <c r="E117" s="53">
        <v>544704</v>
      </c>
      <c r="F117" s="128">
        <v>89124</v>
      </c>
      <c r="G117" s="130">
        <v>88301</v>
      </c>
      <c r="H117" t="s">
        <v>154</v>
      </c>
    </row>
    <row r="118" spans="1:8" x14ac:dyDescent="0.25">
      <c r="A118" s="53">
        <v>435041</v>
      </c>
      <c r="B118" s="128">
        <v>51209</v>
      </c>
      <c r="C118" s="130">
        <v>50735</v>
      </c>
      <c r="D118" s="129" t="s">
        <v>154</v>
      </c>
      <c r="E118" s="53">
        <v>545043</v>
      </c>
      <c r="F118" s="128">
        <v>88301</v>
      </c>
      <c r="G118" s="130">
        <v>87487</v>
      </c>
      <c r="H118" t="s">
        <v>154</v>
      </c>
    </row>
    <row r="119" spans="1:8" x14ac:dyDescent="0.25">
      <c r="A119" s="53">
        <v>435309</v>
      </c>
      <c r="B119" s="128">
        <v>50735</v>
      </c>
      <c r="C119" s="130">
        <v>50261</v>
      </c>
      <c r="D119" s="129" t="s">
        <v>154</v>
      </c>
      <c r="E119" s="53">
        <v>545378</v>
      </c>
      <c r="F119" s="128">
        <v>87487</v>
      </c>
      <c r="G119" s="130">
        <v>86667</v>
      </c>
      <c r="H119" t="s">
        <v>154</v>
      </c>
    </row>
    <row r="120" spans="1:8" x14ac:dyDescent="0.25">
      <c r="A120" s="53">
        <v>435579</v>
      </c>
      <c r="B120" s="128">
        <v>50261</v>
      </c>
      <c r="C120" s="130">
        <v>49785</v>
      </c>
      <c r="D120" s="129" t="s">
        <v>154</v>
      </c>
      <c r="E120" s="53">
        <v>545717</v>
      </c>
      <c r="F120" s="128">
        <v>86667</v>
      </c>
      <c r="G120" s="130">
        <v>85849</v>
      </c>
      <c r="H120" t="s">
        <v>154</v>
      </c>
    </row>
    <row r="121" spans="1:8" x14ac:dyDescent="0.25">
      <c r="A121" s="53">
        <v>435849</v>
      </c>
      <c r="B121" s="128">
        <v>49785</v>
      </c>
      <c r="C121" s="130">
        <v>49315</v>
      </c>
      <c r="D121" s="129" t="s">
        <v>154</v>
      </c>
      <c r="E121" s="53">
        <v>546055</v>
      </c>
      <c r="F121" s="128">
        <v>85849</v>
      </c>
      <c r="G121" s="130">
        <v>85037</v>
      </c>
      <c r="H121" t="s">
        <v>154</v>
      </c>
    </row>
    <row r="122" spans="1:8" x14ac:dyDescent="0.25">
      <c r="A122" s="53">
        <v>436117</v>
      </c>
      <c r="B122" s="128">
        <v>49315</v>
      </c>
      <c r="C122" s="130">
        <v>48843</v>
      </c>
      <c r="D122" s="129" t="s">
        <v>154</v>
      </c>
      <c r="E122" s="53">
        <v>546391</v>
      </c>
      <c r="F122" s="128">
        <v>85037</v>
      </c>
      <c r="G122" s="130">
        <v>84221</v>
      </c>
      <c r="H122" t="s">
        <v>154</v>
      </c>
    </row>
    <row r="123" spans="1:8" x14ac:dyDescent="0.25">
      <c r="A123" s="53">
        <v>436387</v>
      </c>
      <c r="B123" s="128">
        <v>48843</v>
      </c>
      <c r="C123" s="130">
        <v>48372</v>
      </c>
      <c r="D123" s="129" t="s">
        <v>154</v>
      </c>
      <c r="E123" s="53">
        <v>546729</v>
      </c>
      <c r="F123" s="128">
        <v>84221</v>
      </c>
      <c r="G123" s="130">
        <v>83409</v>
      </c>
      <c r="H123" t="s">
        <v>154</v>
      </c>
    </row>
    <row r="124" spans="1:8" x14ac:dyDescent="0.25">
      <c r="A124" s="53">
        <v>436656</v>
      </c>
      <c r="B124" s="128">
        <v>48372</v>
      </c>
      <c r="C124" s="130">
        <v>47900</v>
      </c>
      <c r="D124" s="129" t="s">
        <v>154</v>
      </c>
      <c r="E124" s="53">
        <v>547066</v>
      </c>
      <c r="F124" s="128">
        <v>83409</v>
      </c>
      <c r="G124" s="130">
        <v>82596</v>
      </c>
      <c r="H124" t="s">
        <v>154</v>
      </c>
    </row>
    <row r="125" spans="1:8" x14ac:dyDescent="0.25">
      <c r="A125" s="53">
        <v>436926</v>
      </c>
      <c r="B125" s="128">
        <v>47900</v>
      </c>
      <c r="C125" s="130">
        <v>47428</v>
      </c>
      <c r="D125" s="129" t="s">
        <v>154</v>
      </c>
      <c r="E125" s="53">
        <v>547404</v>
      </c>
      <c r="F125" s="128">
        <v>82596</v>
      </c>
      <c r="G125" s="130">
        <v>81783</v>
      </c>
      <c r="H125" t="s">
        <v>154</v>
      </c>
    </row>
    <row r="126" spans="1:8" x14ac:dyDescent="0.25">
      <c r="A126" s="53">
        <v>437196</v>
      </c>
      <c r="B126" s="128">
        <v>47428</v>
      </c>
      <c r="C126" s="130">
        <v>46959</v>
      </c>
      <c r="D126" s="129" t="s">
        <v>154</v>
      </c>
      <c r="E126" s="53">
        <v>547743</v>
      </c>
      <c r="F126" s="128">
        <v>81783</v>
      </c>
      <c r="G126" s="130">
        <v>80977</v>
      </c>
      <c r="H126" t="s">
        <v>154</v>
      </c>
    </row>
    <row r="127" spans="1:8" x14ac:dyDescent="0.25">
      <c r="A127" s="53">
        <v>437464</v>
      </c>
      <c r="B127" s="128">
        <v>46959</v>
      </c>
      <c r="C127" s="130">
        <v>46491</v>
      </c>
      <c r="D127" s="129" t="s">
        <v>154</v>
      </c>
      <c r="E127" s="53">
        <v>548078</v>
      </c>
      <c r="F127" s="128">
        <v>80977</v>
      </c>
      <c r="G127" s="130">
        <v>80167</v>
      </c>
      <c r="H127" t="s">
        <v>154</v>
      </c>
    </row>
    <row r="128" spans="1:8" x14ac:dyDescent="0.25">
      <c r="A128" s="53">
        <v>437734</v>
      </c>
      <c r="B128" s="128">
        <v>46491</v>
      </c>
      <c r="C128" s="130">
        <v>46022</v>
      </c>
      <c r="D128" s="129" t="s">
        <v>154</v>
      </c>
      <c r="E128" s="53">
        <v>548417</v>
      </c>
      <c r="F128" s="128">
        <v>80167</v>
      </c>
      <c r="G128" s="130">
        <v>79358</v>
      </c>
      <c r="H128" t="s">
        <v>154</v>
      </c>
    </row>
    <row r="129" spans="1:8" x14ac:dyDescent="0.25">
      <c r="A129" s="53">
        <v>438004</v>
      </c>
      <c r="B129" s="128">
        <v>46022</v>
      </c>
      <c r="C129" s="130">
        <v>45554</v>
      </c>
      <c r="D129" s="129" t="s">
        <v>154</v>
      </c>
      <c r="E129" s="53">
        <v>548755</v>
      </c>
      <c r="F129" s="128">
        <v>79358</v>
      </c>
      <c r="G129" s="130">
        <v>78555</v>
      </c>
      <c r="H129" t="s">
        <v>154</v>
      </c>
    </row>
    <row r="130" spans="1:8" x14ac:dyDescent="0.25">
      <c r="A130" s="53">
        <v>438272</v>
      </c>
      <c r="B130" s="128">
        <v>45554</v>
      </c>
      <c r="C130" s="130">
        <v>45089</v>
      </c>
      <c r="D130" s="129" t="s">
        <v>154</v>
      </c>
      <c r="E130" s="53">
        <v>549091</v>
      </c>
      <c r="F130" s="128">
        <v>78555</v>
      </c>
      <c r="G130" s="130">
        <v>77748</v>
      </c>
      <c r="H130" t="s">
        <v>154</v>
      </c>
    </row>
    <row r="131" spans="1:8" x14ac:dyDescent="0.25">
      <c r="A131" s="53">
        <v>438542</v>
      </c>
      <c r="B131" s="128">
        <v>45089</v>
      </c>
      <c r="C131" s="130">
        <v>44622</v>
      </c>
      <c r="D131" s="129" t="s">
        <v>154</v>
      </c>
      <c r="E131" s="53">
        <v>549429</v>
      </c>
      <c r="F131" s="128">
        <v>77748</v>
      </c>
      <c r="G131" s="130">
        <v>76945</v>
      </c>
      <c r="H131" t="s">
        <v>154</v>
      </c>
    </row>
    <row r="132" spans="1:8" x14ac:dyDescent="0.25">
      <c r="A132" s="53">
        <v>438811</v>
      </c>
      <c r="B132" s="128">
        <v>44622</v>
      </c>
      <c r="C132" s="130">
        <v>44155</v>
      </c>
      <c r="D132" s="129" t="s">
        <v>154</v>
      </c>
      <c r="E132" s="53">
        <v>549766</v>
      </c>
      <c r="F132" s="128">
        <v>76945</v>
      </c>
      <c r="G132" s="130">
        <v>76140</v>
      </c>
      <c r="H132" t="s">
        <v>154</v>
      </c>
    </row>
    <row r="133" spans="1:8" x14ac:dyDescent="0.25">
      <c r="A133" s="53">
        <v>439081</v>
      </c>
      <c r="B133" s="128">
        <v>44155</v>
      </c>
      <c r="C133" s="130">
        <v>43690</v>
      </c>
      <c r="D133" s="129" t="s">
        <v>154</v>
      </c>
      <c r="E133" s="53">
        <v>550104</v>
      </c>
      <c r="F133" s="128">
        <v>76140</v>
      </c>
      <c r="G133" s="130">
        <v>75336</v>
      </c>
      <c r="H133" t="s">
        <v>154</v>
      </c>
    </row>
    <row r="134" spans="1:8" x14ac:dyDescent="0.25">
      <c r="A134" s="53">
        <v>439351</v>
      </c>
      <c r="B134" s="128">
        <v>43690</v>
      </c>
      <c r="C134" s="130">
        <v>43227</v>
      </c>
      <c r="D134" s="129" t="s">
        <v>154</v>
      </c>
      <c r="E134" s="53">
        <v>550443</v>
      </c>
      <c r="F134" s="128">
        <v>75336</v>
      </c>
      <c r="G134" s="130">
        <v>74539</v>
      </c>
      <c r="H134" t="s">
        <v>154</v>
      </c>
    </row>
    <row r="135" spans="1:8" x14ac:dyDescent="0.25">
      <c r="A135" s="53">
        <v>439619</v>
      </c>
      <c r="B135" s="128">
        <v>43227</v>
      </c>
      <c r="C135" s="130">
        <v>42764</v>
      </c>
      <c r="D135" s="129" t="s">
        <v>154</v>
      </c>
      <c r="E135" s="53">
        <v>550778</v>
      </c>
      <c r="F135" s="128">
        <v>74539</v>
      </c>
      <c r="G135" s="130">
        <v>73737</v>
      </c>
      <c r="H135" t="s">
        <v>154</v>
      </c>
    </row>
    <row r="136" spans="1:8" x14ac:dyDescent="0.25">
      <c r="A136" s="53">
        <v>439889</v>
      </c>
      <c r="B136" s="128">
        <v>42764</v>
      </c>
      <c r="C136" s="130">
        <v>42301</v>
      </c>
      <c r="D136" s="129" t="s">
        <v>154</v>
      </c>
      <c r="E136" s="53">
        <v>551117</v>
      </c>
      <c r="F136" s="128">
        <v>73737</v>
      </c>
      <c r="G136" s="130">
        <v>72936</v>
      </c>
      <c r="H136" t="s">
        <v>154</v>
      </c>
    </row>
    <row r="137" spans="1:8" x14ac:dyDescent="0.25">
      <c r="A137" s="53">
        <v>440159</v>
      </c>
      <c r="B137" s="128">
        <v>42301</v>
      </c>
      <c r="C137" s="130">
        <v>41836</v>
      </c>
      <c r="D137" s="129" t="s">
        <v>154</v>
      </c>
      <c r="E137" s="53">
        <v>551455</v>
      </c>
      <c r="F137" s="128">
        <v>72936</v>
      </c>
      <c r="G137" s="130">
        <v>72142</v>
      </c>
      <c r="H137" t="s">
        <v>154</v>
      </c>
    </row>
    <row r="138" spans="1:8" x14ac:dyDescent="0.25">
      <c r="A138" s="53">
        <v>440427</v>
      </c>
      <c r="B138" s="128">
        <v>41836</v>
      </c>
      <c r="C138" s="130">
        <v>41373</v>
      </c>
      <c r="D138" s="129" t="s">
        <v>154</v>
      </c>
      <c r="E138" s="53">
        <v>551791</v>
      </c>
      <c r="F138" s="128">
        <v>72142</v>
      </c>
      <c r="G138" s="130">
        <v>71343</v>
      </c>
      <c r="H138" t="s">
        <v>154</v>
      </c>
    </row>
    <row r="139" spans="1:8" x14ac:dyDescent="0.25">
      <c r="A139" s="53">
        <v>440697</v>
      </c>
      <c r="B139" s="128">
        <v>41373</v>
      </c>
      <c r="C139" s="130">
        <v>40913</v>
      </c>
      <c r="D139" s="129" t="s">
        <v>154</v>
      </c>
      <c r="E139" s="53">
        <v>552129</v>
      </c>
      <c r="F139" s="128">
        <v>71343</v>
      </c>
      <c r="G139" s="130">
        <v>70549</v>
      </c>
      <c r="H139" t="s">
        <v>154</v>
      </c>
    </row>
    <row r="140" spans="1:8" x14ac:dyDescent="0.25">
      <c r="A140" s="53">
        <v>440966</v>
      </c>
      <c r="B140" s="128">
        <v>40913</v>
      </c>
      <c r="C140" s="130">
        <v>40451</v>
      </c>
      <c r="D140" s="129" t="s">
        <v>154</v>
      </c>
      <c r="E140" s="53">
        <v>552466</v>
      </c>
      <c r="F140" s="128">
        <v>70549</v>
      </c>
      <c r="G140" s="130">
        <v>69752</v>
      </c>
      <c r="H140" t="s">
        <v>154</v>
      </c>
    </row>
    <row r="141" spans="1:8" x14ac:dyDescent="0.25">
      <c r="A141" s="53">
        <v>441236</v>
      </c>
      <c r="B141" s="128">
        <v>40451</v>
      </c>
      <c r="C141" s="130">
        <v>39992</v>
      </c>
      <c r="D141" s="129" t="s">
        <v>154</v>
      </c>
      <c r="E141" s="53">
        <v>552804</v>
      </c>
      <c r="F141" s="128">
        <v>69752</v>
      </c>
      <c r="G141" s="130">
        <v>68956</v>
      </c>
      <c r="H141" t="s">
        <v>154</v>
      </c>
    </row>
    <row r="142" spans="1:8" x14ac:dyDescent="0.25">
      <c r="A142" s="53">
        <v>441506</v>
      </c>
      <c r="B142" s="128">
        <v>39992</v>
      </c>
      <c r="C142" s="130">
        <v>39530</v>
      </c>
      <c r="D142" s="129" t="s">
        <v>154</v>
      </c>
      <c r="E142" s="53">
        <v>553142</v>
      </c>
      <c r="F142" s="128">
        <v>68956</v>
      </c>
      <c r="G142" s="130">
        <v>68167</v>
      </c>
      <c r="H142" t="s">
        <v>154</v>
      </c>
    </row>
    <row r="143" spans="1:8" x14ac:dyDescent="0.25">
      <c r="A143" s="53">
        <v>441774</v>
      </c>
      <c r="B143" s="128">
        <v>39530</v>
      </c>
      <c r="C143" s="130">
        <v>39073</v>
      </c>
      <c r="D143" s="129" t="s">
        <v>154</v>
      </c>
      <c r="E143" s="53">
        <v>553478</v>
      </c>
      <c r="F143" s="128">
        <v>68167</v>
      </c>
      <c r="G143" s="130">
        <v>67373</v>
      </c>
      <c r="H143" t="s">
        <v>154</v>
      </c>
    </row>
    <row r="144" spans="1:8" x14ac:dyDescent="0.25">
      <c r="A144" s="53">
        <v>442044</v>
      </c>
      <c r="B144" s="128">
        <v>39073</v>
      </c>
      <c r="C144" s="130">
        <v>38613</v>
      </c>
      <c r="D144" s="129" t="s">
        <v>154</v>
      </c>
      <c r="E144" s="53">
        <v>553816</v>
      </c>
      <c r="F144" s="128">
        <v>67373</v>
      </c>
      <c r="G144" s="130">
        <v>66580</v>
      </c>
      <c r="H144" t="s">
        <v>154</v>
      </c>
    </row>
    <row r="145" spans="1:8" x14ac:dyDescent="0.25">
      <c r="A145" s="53">
        <v>442314</v>
      </c>
      <c r="B145" s="128">
        <v>38613</v>
      </c>
      <c r="C145" s="130">
        <v>38153</v>
      </c>
      <c r="D145" s="129" t="s">
        <v>154</v>
      </c>
      <c r="E145" s="53">
        <v>554155</v>
      </c>
      <c r="F145" s="128">
        <v>66580</v>
      </c>
      <c r="G145" s="130">
        <v>65794</v>
      </c>
      <c r="H145" t="s">
        <v>154</v>
      </c>
    </row>
    <row r="146" spans="1:8" x14ac:dyDescent="0.25">
      <c r="A146" s="53">
        <v>442582</v>
      </c>
      <c r="B146" s="128">
        <v>38153</v>
      </c>
      <c r="C146" s="130">
        <v>37696</v>
      </c>
      <c r="D146" s="129" t="s">
        <v>154</v>
      </c>
      <c r="E146" s="53">
        <v>554490</v>
      </c>
      <c r="F146" s="128">
        <v>65794</v>
      </c>
      <c r="G146" s="130">
        <v>65003</v>
      </c>
      <c r="H146" t="s">
        <v>154</v>
      </c>
    </row>
    <row r="147" spans="1:8" x14ac:dyDescent="0.25">
      <c r="A147" s="53">
        <v>442852</v>
      </c>
      <c r="B147" s="128">
        <v>37696</v>
      </c>
      <c r="C147" s="130">
        <v>37238</v>
      </c>
      <c r="D147" s="129" t="s">
        <v>154</v>
      </c>
      <c r="E147" s="53">
        <v>554829</v>
      </c>
      <c r="F147" s="128">
        <v>65003</v>
      </c>
      <c r="G147" s="130">
        <v>64215</v>
      </c>
      <c r="H147" t="s">
        <v>154</v>
      </c>
    </row>
    <row r="148" spans="1:8" x14ac:dyDescent="0.25">
      <c r="A148" s="53">
        <v>443121</v>
      </c>
      <c r="B148" s="128">
        <v>37238</v>
      </c>
      <c r="C148" s="130">
        <v>36784</v>
      </c>
      <c r="D148" s="129" t="s">
        <v>154</v>
      </c>
      <c r="E148" s="53">
        <v>555166</v>
      </c>
      <c r="F148" s="128">
        <v>64215</v>
      </c>
      <c r="G148" s="130">
        <v>63426</v>
      </c>
      <c r="H148" t="s">
        <v>154</v>
      </c>
    </row>
    <row r="149" spans="1:8" x14ac:dyDescent="0.25">
      <c r="A149" s="53">
        <v>443391</v>
      </c>
      <c r="B149" s="128">
        <v>36784</v>
      </c>
      <c r="C149" s="130">
        <v>36327</v>
      </c>
      <c r="D149" s="129" t="s">
        <v>154</v>
      </c>
      <c r="E149" s="53">
        <v>555504</v>
      </c>
      <c r="F149" s="128">
        <v>63426</v>
      </c>
      <c r="G149" s="130">
        <v>62638</v>
      </c>
      <c r="H149" t="s">
        <v>154</v>
      </c>
    </row>
    <row r="150" spans="1:8" x14ac:dyDescent="0.25">
      <c r="A150" s="53">
        <v>443661</v>
      </c>
      <c r="B150" s="128">
        <v>36327</v>
      </c>
      <c r="C150" s="130">
        <v>35873</v>
      </c>
      <c r="D150" s="129" t="s">
        <v>154</v>
      </c>
      <c r="E150" s="53">
        <v>555842</v>
      </c>
      <c r="F150" s="128">
        <v>62638</v>
      </c>
      <c r="G150" s="130">
        <v>61856</v>
      </c>
      <c r="H150" t="s">
        <v>154</v>
      </c>
    </row>
    <row r="151" spans="1:8" x14ac:dyDescent="0.25">
      <c r="A151" s="53">
        <v>443929</v>
      </c>
      <c r="B151" s="128">
        <v>35873</v>
      </c>
      <c r="C151" s="130">
        <v>35417</v>
      </c>
      <c r="D151" s="129" t="s">
        <v>154</v>
      </c>
      <c r="E151" s="53">
        <v>556178</v>
      </c>
      <c r="F151" s="128">
        <v>61856</v>
      </c>
      <c r="G151" s="130">
        <v>61070</v>
      </c>
      <c r="H151" t="s">
        <v>154</v>
      </c>
    </row>
    <row r="152" spans="1:8" x14ac:dyDescent="0.25">
      <c r="A152" s="53">
        <v>444199</v>
      </c>
      <c r="B152" s="128">
        <v>35417</v>
      </c>
      <c r="C152" s="130">
        <v>34963</v>
      </c>
      <c r="D152" s="129" t="s">
        <v>154</v>
      </c>
      <c r="E152" s="53">
        <v>556516</v>
      </c>
      <c r="F152" s="128">
        <v>61070</v>
      </c>
      <c r="G152" s="130">
        <v>60284</v>
      </c>
      <c r="H152" t="s">
        <v>154</v>
      </c>
    </row>
    <row r="153" spans="1:8" x14ac:dyDescent="0.25">
      <c r="A153" s="53">
        <v>444469</v>
      </c>
      <c r="B153" s="128">
        <v>34963</v>
      </c>
      <c r="C153" s="130">
        <v>34507</v>
      </c>
      <c r="D153" s="129" t="s">
        <v>154</v>
      </c>
      <c r="E153" s="53">
        <v>556855</v>
      </c>
      <c r="F153" s="128">
        <v>60284</v>
      </c>
      <c r="G153" s="130">
        <v>59505</v>
      </c>
      <c r="H153" t="s">
        <v>154</v>
      </c>
    </row>
    <row r="154" spans="1:8" x14ac:dyDescent="0.25">
      <c r="A154" s="53">
        <v>444737</v>
      </c>
      <c r="B154" s="128">
        <v>34507</v>
      </c>
      <c r="C154" s="130">
        <v>34054</v>
      </c>
      <c r="D154" s="129" t="s">
        <v>154</v>
      </c>
      <c r="E154" s="53">
        <v>557190</v>
      </c>
      <c r="F154" s="128">
        <v>59505</v>
      </c>
      <c r="G154" s="130">
        <v>58721</v>
      </c>
      <c r="H154" t="s">
        <v>154</v>
      </c>
    </row>
    <row r="155" spans="1:8" x14ac:dyDescent="0.25">
      <c r="A155" s="53">
        <v>445007</v>
      </c>
      <c r="B155" s="128">
        <v>34054</v>
      </c>
      <c r="C155" s="130">
        <v>33602</v>
      </c>
      <c r="D155" s="129" t="s">
        <v>154</v>
      </c>
      <c r="E155" s="53">
        <v>557529</v>
      </c>
      <c r="F155" s="128">
        <v>58721</v>
      </c>
      <c r="G155" s="130">
        <v>57941</v>
      </c>
      <c r="H155" t="s">
        <v>154</v>
      </c>
    </row>
    <row r="156" spans="1:8" x14ac:dyDescent="0.25">
      <c r="A156" s="53">
        <v>445276</v>
      </c>
      <c r="B156" s="128">
        <v>33602</v>
      </c>
      <c r="C156" s="130">
        <v>33150</v>
      </c>
      <c r="D156" s="129" t="s">
        <v>154</v>
      </c>
      <c r="E156" s="53">
        <v>557866</v>
      </c>
      <c r="F156" s="128">
        <v>57941</v>
      </c>
      <c r="G156" s="130">
        <v>57159</v>
      </c>
      <c r="H156" t="s">
        <v>154</v>
      </c>
    </row>
    <row r="157" spans="1:8" x14ac:dyDescent="0.25">
      <c r="A157" s="53">
        <v>445546</v>
      </c>
      <c r="B157" s="128">
        <v>33150</v>
      </c>
      <c r="C157" s="130">
        <v>32697</v>
      </c>
      <c r="D157" s="129" t="s">
        <v>154</v>
      </c>
      <c r="E157" s="53">
        <v>558204</v>
      </c>
      <c r="F157" s="128">
        <v>57159</v>
      </c>
      <c r="G157" s="130">
        <v>56378</v>
      </c>
      <c r="H157" t="s">
        <v>154</v>
      </c>
    </row>
    <row r="158" spans="1:8" x14ac:dyDescent="0.25">
      <c r="A158" s="53">
        <v>445816</v>
      </c>
      <c r="B158" s="128">
        <v>32697</v>
      </c>
      <c r="C158" s="130">
        <v>32245</v>
      </c>
      <c r="D158" s="129" t="s">
        <v>154</v>
      </c>
      <c r="E158" s="53">
        <v>558542</v>
      </c>
      <c r="F158" s="128">
        <v>56378</v>
      </c>
      <c r="G158" s="130">
        <v>55603</v>
      </c>
      <c r="H158" t="s">
        <v>154</v>
      </c>
    </row>
    <row r="159" spans="1:8" x14ac:dyDescent="0.25">
      <c r="A159" s="53">
        <v>446084</v>
      </c>
      <c r="B159" s="128">
        <v>32245</v>
      </c>
      <c r="C159" s="130">
        <v>31794</v>
      </c>
      <c r="D159" s="129" t="s">
        <v>154</v>
      </c>
      <c r="E159" s="53">
        <v>558878</v>
      </c>
      <c r="F159" s="128">
        <v>55603</v>
      </c>
      <c r="G159" s="130">
        <v>54824</v>
      </c>
      <c r="H159" t="s">
        <v>154</v>
      </c>
    </row>
    <row r="160" spans="1:8" x14ac:dyDescent="0.25">
      <c r="A160" s="53">
        <v>446354</v>
      </c>
      <c r="B160" s="128">
        <v>31794</v>
      </c>
      <c r="C160" s="130">
        <v>31345</v>
      </c>
      <c r="D160" s="129" t="s">
        <v>154</v>
      </c>
      <c r="E160" s="53">
        <v>559216</v>
      </c>
      <c r="F160" s="128">
        <v>54824</v>
      </c>
      <c r="G160" s="130">
        <v>54045</v>
      </c>
      <c r="H160" t="s">
        <v>154</v>
      </c>
    </row>
    <row r="161" spans="1:8" x14ac:dyDescent="0.25">
      <c r="A161" s="53">
        <v>446624</v>
      </c>
      <c r="B161" s="128">
        <v>31345</v>
      </c>
      <c r="C161" s="130">
        <v>30894</v>
      </c>
      <c r="D161" s="129" t="s">
        <v>154</v>
      </c>
      <c r="E161" s="53">
        <v>559555</v>
      </c>
      <c r="F161" s="128">
        <v>54045</v>
      </c>
      <c r="G161" s="130">
        <v>53273</v>
      </c>
      <c r="H161" t="s">
        <v>154</v>
      </c>
    </row>
    <row r="162" spans="1:8" x14ac:dyDescent="0.25">
      <c r="A162" s="53">
        <v>446892</v>
      </c>
      <c r="B162" s="128">
        <v>30894</v>
      </c>
      <c r="C162" s="130">
        <v>30445</v>
      </c>
      <c r="D162" s="129" t="s">
        <v>154</v>
      </c>
      <c r="E162" s="53">
        <v>559890</v>
      </c>
      <c r="F162" s="128">
        <v>53273</v>
      </c>
      <c r="G162" s="130">
        <v>52496</v>
      </c>
      <c r="H162" t="s">
        <v>154</v>
      </c>
    </row>
    <row r="163" spans="1:8" x14ac:dyDescent="0.25">
      <c r="A163" s="53">
        <v>447162</v>
      </c>
      <c r="B163" s="128">
        <v>30445</v>
      </c>
      <c r="C163" s="130">
        <v>29995</v>
      </c>
      <c r="D163" s="129" t="s">
        <v>154</v>
      </c>
      <c r="E163" s="53">
        <v>560229</v>
      </c>
      <c r="F163" s="128">
        <v>52496</v>
      </c>
      <c r="G163" s="130">
        <v>51723</v>
      </c>
      <c r="H163" t="s">
        <v>154</v>
      </c>
    </row>
    <row r="164" spans="1:8" x14ac:dyDescent="0.25">
      <c r="A164" s="53">
        <v>447431</v>
      </c>
      <c r="B164" s="128">
        <v>29995</v>
      </c>
      <c r="C164" s="130">
        <v>29548</v>
      </c>
      <c r="D164" s="129" t="s">
        <v>154</v>
      </c>
      <c r="E164" s="53">
        <v>560566</v>
      </c>
      <c r="F164" s="128">
        <v>51723</v>
      </c>
      <c r="G164" s="130">
        <v>50947</v>
      </c>
      <c r="H164" t="s">
        <v>154</v>
      </c>
    </row>
    <row r="165" spans="1:8" x14ac:dyDescent="0.25">
      <c r="A165" s="53">
        <v>447701</v>
      </c>
      <c r="B165" s="128">
        <v>29548</v>
      </c>
      <c r="C165" s="130">
        <v>29097</v>
      </c>
      <c r="D165" s="129" t="s">
        <v>154</v>
      </c>
      <c r="E165" s="53">
        <v>560904</v>
      </c>
      <c r="F165" s="128">
        <v>50947</v>
      </c>
      <c r="G165" s="130">
        <v>50173</v>
      </c>
      <c r="H165" t="s">
        <v>154</v>
      </c>
    </row>
    <row r="166" spans="1:8" x14ac:dyDescent="0.25">
      <c r="A166" s="53">
        <v>447971</v>
      </c>
      <c r="B166" s="128">
        <v>29097</v>
      </c>
      <c r="C166" s="130">
        <v>28650</v>
      </c>
      <c r="D166" s="129" t="s">
        <v>154</v>
      </c>
      <c r="E166" s="53">
        <v>561242</v>
      </c>
      <c r="F166" s="128">
        <v>50173</v>
      </c>
      <c r="G166" s="130">
        <v>49405</v>
      </c>
      <c r="H166" t="s">
        <v>154</v>
      </c>
    </row>
    <row r="167" spans="1:8" x14ac:dyDescent="0.25">
      <c r="A167" s="53">
        <v>448239</v>
      </c>
      <c r="B167" s="128">
        <v>28650</v>
      </c>
      <c r="C167" s="130">
        <v>28203</v>
      </c>
      <c r="D167" s="129" t="s">
        <v>154</v>
      </c>
      <c r="E167" s="53">
        <v>561578</v>
      </c>
      <c r="F167" s="128">
        <v>49405</v>
      </c>
      <c r="G167" s="130">
        <v>48632</v>
      </c>
      <c r="H167" t="s">
        <v>154</v>
      </c>
    </row>
    <row r="168" spans="1:8" x14ac:dyDescent="0.25">
      <c r="A168" s="53">
        <v>448509</v>
      </c>
      <c r="B168" s="128">
        <v>28203</v>
      </c>
      <c r="C168" s="130">
        <v>27756</v>
      </c>
      <c r="D168" s="129" t="s">
        <v>154</v>
      </c>
      <c r="E168" s="53">
        <v>561916</v>
      </c>
      <c r="F168" s="128">
        <v>48632</v>
      </c>
      <c r="G168" s="130">
        <v>47860</v>
      </c>
      <c r="H168" t="s">
        <v>154</v>
      </c>
    </row>
    <row r="169" spans="1:8" x14ac:dyDescent="0.25">
      <c r="A169" s="53">
        <v>448779</v>
      </c>
      <c r="B169" s="128">
        <v>27756</v>
      </c>
      <c r="C169" s="130">
        <v>27312</v>
      </c>
      <c r="D169" s="129" t="s">
        <v>154</v>
      </c>
      <c r="E169" s="53">
        <v>562254</v>
      </c>
      <c r="F169" s="128">
        <v>47860</v>
      </c>
      <c r="G169" s="130">
        <v>47094</v>
      </c>
      <c r="H169" t="s">
        <v>154</v>
      </c>
    </row>
    <row r="170" spans="1:8" x14ac:dyDescent="0.25">
      <c r="A170" s="53">
        <v>449047</v>
      </c>
      <c r="B170" s="128">
        <v>27312</v>
      </c>
      <c r="C170" s="130">
        <v>26865</v>
      </c>
      <c r="D170" s="129" t="s">
        <v>154</v>
      </c>
      <c r="E170" s="53">
        <v>562590</v>
      </c>
      <c r="F170" s="128">
        <v>47094</v>
      </c>
      <c r="G170" s="130">
        <v>46323</v>
      </c>
      <c r="H170" t="s">
        <v>154</v>
      </c>
    </row>
    <row r="171" spans="1:8" x14ac:dyDescent="0.25">
      <c r="A171" s="53">
        <v>449317</v>
      </c>
      <c r="B171" s="128">
        <v>26865</v>
      </c>
      <c r="C171" s="130">
        <v>26420</v>
      </c>
      <c r="D171" s="129" t="s">
        <v>154</v>
      </c>
      <c r="E171" s="53">
        <v>562928</v>
      </c>
      <c r="F171" s="128">
        <v>46323</v>
      </c>
      <c r="G171" s="130">
        <v>45556</v>
      </c>
      <c r="H171" t="s">
        <v>154</v>
      </c>
    </row>
    <row r="172" spans="1:8" x14ac:dyDescent="0.25">
      <c r="A172" s="53">
        <v>449586</v>
      </c>
      <c r="B172" s="128">
        <v>26420</v>
      </c>
      <c r="C172" s="130">
        <v>25976</v>
      </c>
      <c r="D172" s="129" t="s">
        <v>154</v>
      </c>
      <c r="E172" s="53">
        <v>563265</v>
      </c>
      <c r="F172" s="128">
        <v>45556</v>
      </c>
      <c r="G172" s="130">
        <v>44787</v>
      </c>
      <c r="H172" t="s">
        <v>154</v>
      </c>
    </row>
    <row r="173" spans="1:8" x14ac:dyDescent="0.25">
      <c r="A173" s="53">
        <v>449856</v>
      </c>
      <c r="B173" s="128">
        <v>25976</v>
      </c>
      <c r="C173" s="130">
        <v>25531</v>
      </c>
      <c r="D173" s="129" t="s">
        <v>154</v>
      </c>
      <c r="E173" s="53">
        <v>563604</v>
      </c>
      <c r="F173" s="128">
        <v>44787</v>
      </c>
      <c r="G173" s="130">
        <v>44022</v>
      </c>
      <c r="H173" t="s">
        <v>154</v>
      </c>
    </row>
    <row r="174" spans="1:8" x14ac:dyDescent="0.25">
      <c r="A174" s="53">
        <v>450125</v>
      </c>
      <c r="B174" s="128">
        <v>25531</v>
      </c>
      <c r="C174" s="130">
        <v>25087</v>
      </c>
      <c r="D174" s="129" t="s">
        <v>154</v>
      </c>
      <c r="E174" s="53">
        <v>563941</v>
      </c>
      <c r="F174" s="128">
        <v>44022</v>
      </c>
      <c r="G174" s="130">
        <v>43257</v>
      </c>
      <c r="H174" t="s">
        <v>154</v>
      </c>
    </row>
    <row r="175" spans="1:8" x14ac:dyDescent="0.25">
      <c r="A175" s="53">
        <v>450394</v>
      </c>
      <c r="B175" s="128">
        <v>25087</v>
      </c>
      <c r="C175" s="130">
        <v>24642</v>
      </c>
      <c r="D175" s="129" t="s">
        <v>154</v>
      </c>
      <c r="E175" s="53">
        <v>564278</v>
      </c>
      <c r="F175" s="128">
        <v>43257</v>
      </c>
      <c r="G175" s="130">
        <v>42491</v>
      </c>
      <c r="H175" t="s">
        <v>154</v>
      </c>
    </row>
    <row r="176" spans="1:8" x14ac:dyDescent="0.25">
      <c r="A176" s="53">
        <v>450664</v>
      </c>
      <c r="B176" s="128">
        <v>24642</v>
      </c>
      <c r="C176" s="130">
        <v>24199</v>
      </c>
      <c r="D176" s="129" t="s">
        <v>154</v>
      </c>
      <c r="E176" s="53">
        <v>564616</v>
      </c>
      <c r="F176" s="128">
        <v>42491</v>
      </c>
      <c r="G176" s="130">
        <v>41730</v>
      </c>
      <c r="H176" t="s">
        <v>154</v>
      </c>
    </row>
    <row r="177" spans="1:8" x14ac:dyDescent="0.25">
      <c r="A177" s="53">
        <v>450932</v>
      </c>
      <c r="B177" s="128">
        <v>24199</v>
      </c>
      <c r="C177" s="130">
        <v>23757</v>
      </c>
      <c r="D177" s="129" t="s">
        <v>154</v>
      </c>
      <c r="E177" s="53">
        <v>564952</v>
      </c>
      <c r="F177" s="128">
        <v>41730</v>
      </c>
      <c r="G177" s="130">
        <v>40965</v>
      </c>
      <c r="H177" t="s">
        <v>154</v>
      </c>
    </row>
    <row r="178" spans="1:8" x14ac:dyDescent="0.25">
      <c r="A178" s="53">
        <v>451202</v>
      </c>
      <c r="B178" s="128">
        <v>23757</v>
      </c>
      <c r="C178" s="130">
        <v>23315</v>
      </c>
      <c r="D178" s="129" t="s">
        <v>154</v>
      </c>
      <c r="E178" s="53">
        <v>565290</v>
      </c>
      <c r="F178" s="128">
        <v>40965</v>
      </c>
      <c r="G178" s="130">
        <v>40201</v>
      </c>
      <c r="H178" t="s">
        <v>154</v>
      </c>
    </row>
    <row r="179" spans="1:8" x14ac:dyDescent="0.25">
      <c r="A179" s="53">
        <v>451472</v>
      </c>
      <c r="B179" s="128">
        <v>23315</v>
      </c>
      <c r="C179" s="130">
        <v>22873</v>
      </c>
      <c r="D179" s="129" t="s">
        <v>154</v>
      </c>
      <c r="E179" s="53">
        <v>565628</v>
      </c>
      <c r="F179" s="128">
        <v>40201</v>
      </c>
      <c r="G179" s="130">
        <v>39440</v>
      </c>
      <c r="H179" t="s">
        <v>154</v>
      </c>
    </row>
    <row r="180" spans="1:8" x14ac:dyDescent="0.25">
      <c r="A180" s="53">
        <v>451741</v>
      </c>
      <c r="B180" s="128">
        <v>22873</v>
      </c>
      <c r="C180" s="130">
        <v>22432</v>
      </c>
      <c r="D180" s="129" t="s">
        <v>154</v>
      </c>
      <c r="E180" s="53">
        <v>565965</v>
      </c>
      <c r="F180" s="128">
        <v>39440</v>
      </c>
      <c r="G180" s="130">
        <v>38677</v>
      </c>
      <c r="H180" t="s">
        <v>154</v>
      </c>
    </row>
    <row r="181" spans="1:8" x14ac:dyDescent="0.25">
      <c r="A181" s="53">
        <v>452011</v>
      </c>
      <c r="B181" s="128">
        <v>22432</v>
      </c>
      <c r="C181" s="130">
        <v>21988</v>
      </c>
      <c r="D181" s="129" t="s">
        <v>154</v>
      </c>
      <c r="E181" s="53">
        <v>566304</v>
      </c>
      <c r="F181" s="128">
        <v>38677</v>
      </c>
      <c r="G181" s="130">
        <v>37914</v>
      </c>
      <c r="H181" t="s">
        <v>154</v>
      </c>
    </row>
    <row r="182" spans="1:8" x14ac:dyDescent="0.25">
      <c r="A182" s="53">
        <v>452281</v>
      </c>
      <c r="B182" s="128">
        <v>21988</v>
      </c>
      <c r="C182" s="130">
        <v>21550</v>
      </c>
      <c r="D182" s="129" t="s">
        <v>154</v>
      </c>
      <c r="E182" s="53">
        <v>566642</v>
      </c>
      <c r="F182" s="128">
        <v>37914</v>
      </c>
      <c r="G182" s="130">
        <v>37158</v>
      </c>
      <c r="H182" t="s">
        <v>154</v>
      </c>
    </row>
    <row r="183" spans="1:8" x14ac:dyDescent="0.25">
      <c r="A183" s="53">
        <v>452549</v>
      </c>
      <c r="B183" s="128">
        <v>21550</v>
      </c>
      <c r="C183" s="130">
        <v>21108</v>
      </c>
      <c r="D183" s="129" t="s">
        <v>154</v>
      </c>
      <c r="E183" s="53">
        <v>566978</v>
      </c>
      <c r="F183" s="128">
        <v>37158</v>
      </c>
      <c r="G183" s="130">
        <v>36398</v>
      </c>
      <c r="H183" t="s">
        <v>154</v>
      </c>
    </row>
    <row r="184" spans="1:8" x14ac:dyDescent="0.25">
      <c r="A184" s="53">
        <v>452819</v>
      </c>
      <c r="B184" s="128">
        <v>21108</v>
      </c>
      <c r="C184" s="130">
        <v>20668</v>
      </c>
      <c r="D184" s="129" t="s">
        <v>154</v>
      </c>
      <c r="E184" s="53">
        <v>567316</v>
      </c>
      <c r="F184" s="128">
        <v>36398</v>
      </c>
      <c r="G184" s="130">
        <v>35643</v>
      </c>
      <c r="H184" t="s">
        <v>154</v>
      </c>
    </row>
    <row r="185" spans="1:8" x14ac:dyDescent="0.25">
      <c r="A185" s="53">
        <v>453087</v>
      </c>
      <c r="B185" s="128">
        <v>20668</v>
      </c>
      <c r="C185" s="130">
        <v>20230</v>
      </c>
      <c r="D185" s="129" t="s">
        <v>154</v>
      </c>
      <c r="E185" s="53">
        <v>567652</v>
      </c>
      <c r="F185" s="128">
        <v>35643</v>
      </c>
      <c r="G185" s="130">
        <v>34884</v>
      </c>
      <c r="H185" t="s">
        <v>154</v>
      </c>
    </row>
    <row r="186" spans="1:8" x14ac:dyDescent="0.25">
      <c r="A186" s="53">
        <v>453357</v>
      </c>
      <c r="B186" s="128">
        <v>20230</v>
      </c>
      <c r="C186" s="130">
        <v>19790</v>
      </c>
      <c r="D186" s="129" t="s">
        <v>154</v>
      </c>
      <c r="E186" s="53">
        <v>567990</v>
      </c>
      <c r="F186" s="128">
        <v>34884</v>
      </c>
      <c r="G186" s="130">
        <v>34125</v>
      </c>
      <c r="H186" t="s">
        <v>154</v>
      </c>
    </row>
    <row r="187" spans="1:8" x14ac:dyDescent="0.25">
      <c r="A187" s="53">
        <v>453627</v>
      </c>
      <c r="B187" s="128">
        <v>19790</v>
      </c>
      <c r="C187" s="130">
        <v>19352</v>
      </c>
      <c r="D187" s="129" t="s">
        <v>154</v>
      </c>
      <c r="E187" s="53">
        <v>568328</v>
      </c>
      <c r="F187" s="128">
        <v>34125</v>
      </c>
      <c r="G187" s="130">
        <v>33370</v>
      </c>
      <c r="H187" t="s">
        <v>154</v>
      </c>
    </row>
    <row r="188" spans="1:8" x14ac:dyDescent="0.25">
      <c r="A188" s="53">
        <v>453896</v>
      </c>
      <c r="B188" s="128">
        <v>19352</v>
      </c>
      <c r="C188" s="130">
        <v>18916</v>
      </c>
      <c r="D188" s="129" t="s">
        <v>154</v>
      </c>
      <c r="E188" s="53">
        <v>568665</v>
      </c>
      <c r="F188" s="128">
        <v>33370</v>
      </c>
      <c r="G188" s="130">
        <v>32612</v>
      </c>
      <c r="H188" t="s">
        <v>154</v>
      </c>
    </row>
    <row r="189" spans="1:8" x14ac:dyDescent="0.25">
      <c r="A189" s="53">
        <v>454166</v>
      </c>
      <c r="B189" s="128">
        <v>18916</v>
      </c>
      <c r="C189" s="130">
        <v>18476</v>
      </c>
      <c r="D189" s="129" t="s">
        <v>154</v>
      </c>
      <c r="E189" s="53">
        <v>569004</v>
      </c>
      <c r="F189" s="128">
        <v>32612</v>
      </c>
      <c r="G189" s="130">
        <v>31856</v>
      </c>
      <c r="H189" t="s">
        <v>154</v>
      </c>
    </row>
    <row r="190" spans="1:8" x14ac:dyDescent="0.25">
      <c r="A190" s="53">
        <v>454436</v>
      </c>
      <c r="B190" s="128">
        <v>18476</v>
      </c>
      <c r="C190" s="130">
        <v>18039</v>
      </c>
      <c r="D190" s="129" t="s">
        <v>154</v>
      </c>
      <c r="E190" s="53">
        <v>569342</v>
      </c>
      <c r="F190" s="128">
        <v>31856</v>
      </c>
      <c r="G190" s="130">
        <v>31105</v>
      </c>
      <c r="H190" t="s">
        <v>154</v>
      </c>
    </row>
    <row r="191" spans="1:8" x14ac:dyDescent="0.25">
      <c r="A191" s="53">
        <v>454704</v>
      </c>
      <c r="B191" s="128">
        <v>18039</v>
      </c>
      <c r="C191" s="130">
        <v>17601</v>
      </c>
      <c r="D191" s="129" t="s">
        <v>154</v>
      </c>
      <c r="E191" s="53">
        <v>569678</v>
      </c>
      <c r="F191" s="128">
        <v>31105</v>
      </c>
      <c r="G191" s="130">
        <v>30350</v>
      </c>
      <c r="H191" t="s">
        <v>154</v>
      </c>
    </row>
    <row r="192" spans="1:8" x14ac:dyDescent="0.25">
      <c r="A192" s="53">
        <v>454974</v>
      </c>
      <c r="B192" s="128">
        <v>17601</v>
      </c>
      <c r="C192" s="130">
        <v>17165</v>
      </c>
      <c r="D192" s="129" t="s">
        <v>154</v>
      </c>
      <c r="E192" s="53">
        <v>570016</v>
      </c>
      <c r="F192" s="128">
        <v>30350</v>
      </c>
      <c r="G192" s="130">
        <v>29601</v>
      </c>
      <c r="H192" t="s">
        <v>154</v>
      </c>
    </row>
    <row r="193" spans="1:8" x14ac:dyDescent="0.25">
      <c r="A193" s="53">
        <v>455242</v>
      </c>
      <c r="B193" s="128">
        <v>17165</v>
      </c>
      <c r="C193" s="130">
        <v>16729</v>
      </c>
      <c r="D193" s="129" t="s">
        <v>154</v>
      </c>
      <c r="E193" s="53">
        <v>570352</v>
      </c>
      <c r="F193" s="128">
        <v>29601</v>
      </c>
      <c r="G193" s="130">
        <v>28847</v>
      </c>
      <c r="H193" t="s">
        <v>154</v>
      </c>
    </row>
    <row r="194" spans="1:8" x14ac:dyDescent="0.25">
      <c r="A194" s="53">
        <v>455512</v>
      </c>
      <c r="B194" s="128">
        <v>16729</v>
      </c>
      <c r="C194" s="130">
        <v>16294</v>
      </c>
      <c r="D194" s="129" t="s">
        <v>154</v>
      </c>
      <c r="E194" s="53">
        <v>570690</v>
      </c>
      <c r="F194" s="128">
        <v>28847</v>
      </c>
      <c r="G194" s="130">
        <v>28094</v>
      </c>
      <c r="H194" t="s">
        <v>154</v>
      </c>
    </row>
    <row r="195" spans="1:8" x14ac:dyDescent="0.25">
      <c r="A195" s="53">
        <v>455782</v>
      </c>
      <c r="B195" s="128">
        <v>16294</v>
      </c>
      <c r="C195" s="130">
        <v>15858</v>
      </c>
      <c r="D195" s="129" t="s">
        <v>154</v>
      </c>
      <c r="E195" s="53">
        <v>571028</v>
      </c>
      <c r="F195" s="128">
        <v>28094</v>
      </c>
      <c r="G195" s="130">
        <v>27344</v>
      </c>
      <c r="H195" t="s">
        <v>154</v>
      </c>
    </row>
    <row r="196" spans="1:8" x14ac:dyDescent="0.25">
      <c r="A196" s="53">
        <v>456051</v>
      </c>
      <c r="B196" s="128">
        <v>15858</v>
      </c>
      <c r="C196" s="130">
        <v>15425</v>
      </c>
      <c r="D196" s="129" t="s">
        <v>154</v>
      </c>
      <c r="E196" s="53">
        <v>571365</v>
      </c>
      <c r="F196" s="128">
        <v>27344</v>
      </c>
      <c r="G196" s="130">
        <v>26592</v>
      </c>
      <c r="H196" t="s">
        <v>154</v>
      </c>
    </row>
    <row r="197" spans="1:8" x14ac:dyDescent="0.25">
      <c r="A197" s="53">
        <v>456321</v>
      </c>
      <c r="B197" s="128">
        <v>15425</v>
      </c>
      <c r="C197" s="130">
        <v>14988</v>
      </c>
      <c r="D197" s="129" t="s">
        <v>154</v>
      </c>
      <c r="E197" s="53">
        <v>571703</v>
      </c>
      <c r="F197" s="128">
        <v>26592</v>
      </c>
      <c r="G197" s="130">
        <v>25841</v>
      </c>
      <c r="H197" t="s">
        <v>154</v>
      </c>
    </row>
    <row r="198" spans="1:8" x14ac:dyDescent="0.25">
      <c r="A198" s="53">
        <v>456591</v>
      </c>
      <c r="B198" s="128">
        <v>14988</v>
      </c>
      <c r="C198" s="130">
        <v>14554</v>
      </c>
      <c r="D198" s="129" t="s">
        <v>154</v>
      </c>
      <c r="E198" s="53">
        <v>572042</v>
      </c>
      <c r="F198" s="128">
        <v>25841</v>
      </c>
      <c r="G198" s="130">
        <v>25096</v>
      </c>
      <c r="H198" t="s">
        <v>154</v>
      </c>
    </row>
    <row r="199" spans="1:8" x14ac:dyDescent="0.25">
      <c r="A199" s="53">
        <v>456859</v>
      </c>
      <c r="B199" s="128">
        <v>14554</v>
      </c>
      <c r="C199" s="130">
        <v>14121</v>
      </c>
      <c r="D199" s="129" t="s">
        <v>154</v>
      </c>
      <c r="E199" s="53">
        <v>572377</v>
      </c>
      <c r="F199" s="128">
        <v>25096</v>
      </c>
      <c r="G199" s="130">
        <v>24346</v>
      </c>
      <c r="H199" t="s">
        <v>154</v>
      </c>
    </row>
    <row r="200" spans="1:8" x14ac:dyDescent="0.25">
      <c r="A200" s="53">
        <v>457129</v>
      </c>
      <c r="B200" s="128">
        <v>14121</v>
      </c>
      <c r="C200" s="130">
        <v>13687</v>
      </c>
      <c r="D200" s="129" t="s">
        <v>154</v>
      </c>
      <c r="E200" s="53">
        <v>572716</v>
      </c>
      <c r="F200" s="128">
        <v>24346</v>
      </c>
      <c r="G200" s="130">
        <v>23602</v>
      </c>
      <c r="H200" t="s">
        <v>154</v>
      </c>
    </row>
    <row r="201" spans="1:8" x14ac:dyDescent="0.25">
      <c r="A201" s="53">
        <v>457397</v>
      </c>
      <c r="B201" s="128">
        <v>13687</v>
      </c>
      <c r="C201" s="130">
        <v>13254</v>
      </c>
      <c r="D201" s="129" t="s">
        <v>154</v>
      </c>
      <c r="E201" s="53">
        <v>573052</v>
      </c>
      <c r="F201" s="128">
        <v>23602</v>
      </c>
      <c r="G201" s="130">
        <v>22854</v>
      </c>
      <c r="H201" t="s">
        <v>154</v>
      </c>
    </row>
    <row r="202" spans="1:8" x14ac:dyDescent="0.25">
      <c r="A202" s="53">
        <v>457667</v>
      </c>
      <c r="B202" s="128">
        <v>13254</v>
      </c>
      <c r="C202" s="130">
        <v>12823</v>
      </c>
      <c r="D202" s="129" t="s">
        <v>154</v>
      </c>
      <c r="E202" s="53">
        <v>573390</v>
      </c>
      <c r="F202" s="128">
        <v>22854</v>
      </c>
      <c r="G202" s="130">
        <v>22106</v>
      </c>
      <c r="H202" t="s">
        <v>154</v>
      </c>
    </row>
    <row r="203" spans="1:8" x14ac:dyDescent="0.25">
      <c r="A203" s="53">
        <v>457937</v>
      </c>
      <c r="B203" s="128">
        <v>12823</v>
      </c>
      <c r="C203" s="130">
        <v>12389</v>
      </c>
      <c r="D203" s="129" t="s">
        <v>154</v>
      </c>
      <c r="E203" s="53">
        <v>573728</v>
      </c>
      <c r="F203" s="128">
        <v>22106</v>
      </c>
      <c r="G203" s="130">
        <v>21361</v>
      </c>
      <c r="H203" t="s">
        <v>154</v>
      </c>
    </row>
    <row r="204" spans="1:8" x14ac:dyDescent="0.25">
      <c r="A204" s="53">
        <v>458206</v>
      </c>
      <c r="B204" s="128">
        <v>12389</v>
      </c>
      <c r="C204" s="130">
        <v>11957</v>
      </c>
      <c r="D204" s="129" t="s">
        <v>154</v>
      </c>
      <c r="E204" s="53">
        <v>574065</v>
      </c>
      <c r="F204" s="128">
        <v>21361</v>
      </c>
      <c r="G204" s="130">
        <v>20614</v>
      </c>
      <c r="H204" t="s">
        <v>154</v>
      </c>
    </row>
    <row r="205" spans="1:8" x14ac:dyDescent="0.25">
      <c r="A205" s="53">
        <v>458476</v>
      </c>
      <c r="B205" s="128">
        <v>11957</v>
      </c>
      <c r="C205" s="130">
        <v>11524</v>
      </c>
      <c r="D205" s="129" t="s">
        <v>154</v>
      </c>
      <c r="E205" s="53">
        <v>574403</v>
      </c>
      <c r="F205" s="128">
        <v>20614</v>
      </c>
      <c r="G205" s="130">
        <v>19868</v>
      </c>
      <c r="H205" t="s">
        <v>154</v>
      </c>
    </row>
    <row r="206" spans="1:8" x14ac:dyDescent="0.25">
      <c r="A206" s="53">
        <v>458746</v>
      </c>
      <c r="B206" s="128">
        <v>11524</v>
      </c>
      <c r="C206" s="130">
        <v>11093</v>
      </c>
      <c r="D206" s="129" t="s">
        <v>154</v>
      </c>
      <c r="E206" s="53">
        <v>574742</v>
      </c>
      <c r="F206" s="128">
        <v>19868</v>
      </c>
      <c r="G206" s="130">
        <v>19128</v>
      </c>
      <c r="H206" t="s">
        <v>154</v>
      </c>
    </row>
    <row r="207" spans="1:8" x14ac:dyDescent="0.25">
      <c r="A207" s="53">
        <v>459014</v>
      </c>
      <c r="B207" s="128">
        <v>11093</v>
      </c>
      <c r="C207" s="130">
        <v>10662</v>
      </c>
      <c r="D207" s="129" t="s">
        <v>154</v>
      </c>
      <c r="E207" s="53">
        <v>575077</v>
      </c>
      <c r="F207" s="128">
        <v>19128</v>
      </c>
      <c r="G207" s="130">
        <v>18383</v>
      </c>
      <c r="H207" t="s">
        <v>154</v>
      </c>
    </row>
    <row r="208" spans="1:8" x14ac:dyDescent="0.25">
      <c r="A208" s="53">
        <v>459284</v>
      </c>
      <c r="B208" s="128">
        <v>10662</v>
      </c>
      <c r="C208" s="130">
        <v>10231</v>
      </c>
      <c r="D208" s="129" t="s">
        <v>154</v>
      </c>
      <c r="E208" s="53">
        <v>575416</v>
      </c>
      <c r="F208" s="128">
        <v>18383</v>
      </c>
      <c r="G208" s="130">
        <v>17645</v>
      </c>
      <c r="H208" t="s">
        <v>154</v>
      </c>
    </row>
    <row r="209" spans="1:8" x14ac:dyDescent="0.25">
      <c r="A209" s="53">
        <v>459552</v>
      </c>
      <c r="B209" s="128">
        <v>10231</v>
      </c>
      <c r="C209" s="130">
        <v>9802</v>
      </c>
      <c r="D209" s="129" t="s">
        <v>154</v>
      </c>
      <c r="E209" s="53">
        <v>575751</v>
      </c>
      <c r="F209" s="128">
        <v>17645</v>
      </c>
      <c r="G209" s="130">
        <v>16901</v>
      </c>
      <c r="H209" t="s">
        <v>154</v>
      </c>
    </row>
    <row r="210" spans="1:8" x14ac:dyDescent="0.25">
      <c r="A210" s="53">
        <v>459822</v>
      </c>
      <c r="B210" s="128">
        <v>9802</v>
      </c>
      <c r="C210" s="130">
        <v>9371</v>
      </c>
      <c r="D210" s="129" t="s">
        <v>154</v>
      </c>
      <c r="E210" s="53">
        <v>576090</v>
      </c>
      <c r="F210" s="128">
        <v>16901</v>
      </c>
      <c r="G210" s="130">
        <v>16158</v>
      </c>
      <c r="H210" t="s">
        <v>154</v>
      </c>
    </row>
    <row r="211" spans="1:8" x14ac:dyDescent="0.25">
      <c r="A211" s="53">
        <v>460092</v>
      </c>
      <c r="B211" s="128">
        <v>9371</v>
      </c>
      <c r="C211" s="130">
        <v>8944</v>
      </c>
      <c r="D211" s="129" t="s">
        <v>154</v>
      </c>
      <c r="E211" s="53">
        <v>576428</v>
      </c>
      <c r="F211" s="128">
        <v>16158</v>
      </c>
      <c r="G211" s="130">
        <v>15418</v>
      </c>
      <c r="H211" t="s">
        <v>154</v>
      </c>
    </row>
    <row r="212" spans="1:8" x14ac:dyDescent="0.25">
      <c r="A212" s="53">
        <v>460361</v>
      </c>
      <c r="B212" s="128">
        <v>8944</v>
      </c>
      <c r="C212" s="130">
        <v>8513</v>
      </c>
      <c r="D212" s="129" t="s">
        <v>154</v>
      </c>
      <c r="E212" s="53">
        <v>576765</v>
      </c>
      <c r="F212" s="128">
        <v>15418</v>
      </c>
      <c r="G212" s="130">
        <v>14676</v>
      </c>
      <c r="H212" t="s">
        <v>154</v>
      </c>
    </row>
    <row r="213" spans="1:8" x14ac:dyDescent="0.25">
      <c r="A213" s="53">
        <v>460631</v>
      </c>
      <c r="B213" s="128">
        <v>8513</v>
      </c>
      <c r="C213" s="130">
        <v>8084</v>
      </c>
      <c r="D213" s="129" t="s">
        <v>154</v>
      </c>
      <c r="E213" s="53">
        <v>577103</v>
      </c>
      <c r="F213" s="128">
        <v>14676</v>
      </c>
      <c r="G213" s="130">
        <v>13935</v>
      </c>
      <c r="H213" t="s">
        <v>154</v>
      </c>
    </row>
    <row r="214" spans="1:8" x14ac:dyDescent="0.25">
      <c r="A214" s="53">
        <v>460901</v>
      </c>
      <c r="B214" s="128">
        <v>8084</v>
      </c>
      <c r="C214" s="130">
        <v>7656</v>
      </c>
      <c r="D214" s="129" t="s">
        <v>154</v>
      </c>
      <c r="E214" s="53">
        <v>577442</v>
      </c>
      <c r="F214" s="128">
        <v>13935</v>
      </c>
      <c r="G214" s="130">
        <v>13200</v>
      </c>
      <c r="H214" t="s">
        <v>154</v>
      </c>
    </row>
    <row r="215" spans="1:8" x14ac:dyDescent="0.25">
      <c r="A215" s="53">
        <v>461169</v>
      </c>
      <c r="B215" s="128">
        <v>7656</v>
      </c>
      <c r="C215" s="130">
        <v>7227</v>
      </c>
      <c r="D215" s="129" t="s">
        <v>154</v>
      </c>
      <c r="E215" s="53">
        <v>577777</v>
      </c>
      <c r="F215" s="128">
        <v>13200</v>
      </c>
      <c r="G215" s="130">
        <v>12460</v>
      </c>
      <c r="H215" t="s">
        <v>154</v>
      </c>
    </row>
    <row r="216" spans="1:8" x14ac:dyDescent="0.25">
      <c r="A216" s="53">
        <v>461439</v>
      </c>
      <c r="B216" s="128">
        <v>7227</v>
      </c>
      <c r="C216" s="130">
        <v>6799</v>
      </c>
      <c r="D216" s="129" t="s">
        <v>154</v>
      </c>
      <c r="E216" s="53">
        <v>578116</v>
      </c>
      <c r="F216" s="128">
        <v>12460</v>
      </c>
      <c r="G216" s="130">
        <v>11726</v>
      </c>
      <c r="H216" t="s">
        <v>154</v>
      </c>
    </row>
    <row r="217" spans="1:8" x14ac:dyDescent="0.25">
      <c r="A217" s="53">
        <v>461707</v>
      </c>
      <c r="B217" s="128">
        <v>6799</v>
      </c>
      <c r="C217" s="130">
        <v>6374</v>
      </c>
      <c r="D217" s="129" t="s">
        <v>154</v>
      </c>
      <c r="E217" s="53">
        <v>578451</v>
      </c>
      <c r="F217" s="128">
        <v>11726</v>
      </c>
      <c r="G217" s="130">
        <v>10987</v>
      </c>
      <c r="H217" t="s">
        <v>154</v>
      </c>
    </row>
    <row r="218" spans="1:8" x14ac:dyDescent="0.25">
      <c r="A218" s="53">
        <v>461977</v>
      </c>
      <c r="B218" s="128">
        <v>6374</v>
      </c>
      <c r="C218" s="130">
        <v>5945</v>
      </c>
      <c r="D218" s="129" t="s">
        <v>154</v>
      </c>
      <c r="E218" s="53">
        <v>578790</v>
      </c>
      <c r="F218" s="128">
        <v>10987</v>
      </c>
      <c r="G218" s="130">
        <v>10249</v>
      </c>
      <c r="H218" t="s">
        <v>154</v>
      </c>
    </row>
    <row r="219" spans="1:8" x14ac:dyDescent="0.25">
      <c r="A219" s="53">
        <v>462247</v>
      </c>
      <c r="B219" s="128">
        <v>5945</v>
      </c>
      <c r="C219" s="130">
        <v>5519</v>
      </c>
      <c r="D219" s="129" t="s">
        <v>154</v>
      </c>
      <c r="E219" s="53">
        <v>579128</v>
      </c>
      <c r="F219" s="128">
        <v>10249</v>
      </c>
      <c r="G219" s="130">
        <v>9514</v>
      </c>
      <c r="H219" t="s">
        <v>154</v>
      </c>
    </row>
    <row r="220" spans="1:8" x14ac:dyDescent="0.25">
      <c r="A220" s="53">
        <v>462516</v>
      </c>
      <c r="B220" s="128">
        <v>5519</v>
      </c>
      <c r="C220" s="130">
        <v>5092</v>
      </c>
      <c r="D220" s="129" t="s">
        <v>154</v>
      </c>
      <c r="E220" s="53">
        <v>579465</v>
      </c>
      <c r="F220" s="128">
        <v>9514</v>
      </c>
      <c r="G220" s="130">
        <v>8777</v>
      </c>
      <c r="H220" t="s">
        <v>154</v>
      </c>
    </row>
    <row r="221" spans="1:8" x14ac:dyDescent="0.25">
      <c r="A221" s="53">
        <v>462786</v>
      </c>
      <c r="B221" s="128">
        <v>5092</v>
      </c>
      <c r="C221" s="130">
        <v>4666</v>
      </c>
      <c r="D221" s="129" t="s">
        <v>154</v>
      </c>
      <c r="E221" s="53">
        <v>579803</v>
      </c>
      <c r="F221" s="128">
        <v>8777</v>
      </c>
      <c r="G221" s="130">
        <v>8040</v>
      </c>
      <c r="H221" t="s">
        <v>154</v>
      </c>
    </row>
    <row r="222" spans="1:8" x14ac:dyDescent="0.25">
      <c r="A222" s="53">
        <v>463056</v>
      </c>
      <c r="B222" s="128">
        <v>4666</v>
      </c>
      <c r="C222" s="130">
        <v>4240</v>
      </c>
      <c r="D222" s="129" t="s">
        <v>154</v>
      </c>
      <c r="E222" s="53">
        <v>580141</v>
      </c>
      <c r="F222" s="128">
        <v>8040</v>
      </c>
      <c r="G222" s="130">
        <v>7310</v>
      </c>
      <c r="H222" t="s">
        <v>154</v>
      </c>
    </row>
    <row r="223" spans="1:8" x14ac:dyDescent="0.25">
      <c r="A223" s="53">
        <v>463324</v>
      </c>
      <c r="B223" s="128">
        <v>4240</v>
      </c>
      <c r="C223" s="130">
        <v>3815</v>
      </c>
      <c r="D223" s="129" t="s">
        <v>154</v>
      </c>
      <c r="E223" s="53">
        <v>580477</v>
      </c>
      <c r="F223" s="128">
        <v>7310</v>
      </c>
      <c r="G223" s="130">
        <v>6574</v>
      </c>
      <c r="H223" t="s">
        <v>154</v>
      </c>
    </row>
    <row r="224" spans="1:8" x14ac:dyDescent="0.25">
      <c r="A224" s="53">
        <v>463594</v>
      </c>
      <c r="B224" s="128">
        <v>3815</v>
      </c>
      <c r="C224" s="130">
        <v>3389</v>
      </c>
      <c r="D224" s="129" t="s">
        <v>154</v>
      </c>
      <c r="E224" s="53">
        <v>580815</v>
      </c>
      <c r="F224" s="128">
        <v>6574</v>
      </c>
      <c r="G224" s="130">
        <v>5845</v>
      </c>
      <c r="H224" t="s">
        <v>154</v>
      </c>
    </row>
    <row r="225" spans="1:8" x14ac:dyDescent="0.25">
      <c r="A225" s="53">
        <v>463862</v>
      </c>
      <c r="B225" s="128">
        <v>3389</v>
      </c>
      <c r="C225" s="130">
        <v>2965</v>
      </c>
      <c r="D225" s="129" t="s">
        <v>154</v>
      </c>
      <c r="E225" s="53">
        <v>581151</v>
      </c>
      <c r="F225" s="128">
        <v>5845</v>
      </c>
      <c r="G225" s="130">
        <v>5111</v>
      </c>
      <c r="H225" t="s">
        <v>154</v>
      </c>
    </row>
    <row r="226" spans="1:8" x14ac:dyDescent="0.25">
      <c r="A226" s="53">
        <v>464132</v>
      </c>
      <c r="B226" s="128">
        <v>2965</v>
      </c>
      <c r="C226" s="130">
        <v>2540</v>
      </c>
      <c r="D226" s="129" t="s">
        <v>154</v>
      </c>
      <c r="E226" s="53">
        <v>581489</v>
      </c>
      <c r="F226" s="128">
        <v>5111</v>
      </c>
      <c r="G226" s="130">
        <v>4377</v>
      </c>
      <c r="H226" t="s">
        <v>154</v>
      </c>
    </row>
    <row r="227" spans="1:8" x14ac:dyDescent="0.25">
      <c r="A227" s="53">
        <v>464402</v>
      </c>
      <c r="B227" s="128">
        <v>2540</v>
      </c>
      <c r="C227" s="130">
        <v>2117</v>
      </c>
      <c r="D227" s="129" t="s">
        <v>154</v>
      </c>
      <c r="E227" s="53">
        <v>581828</v>
      </c>
      <c r="F227" s="128">
        <v>4377</v>
      </c>
      <c r="G227" s="130">
        <v>3647</v>
      </c>
      <c r="H227" t="s">
        <v>154</v>
      </c>
    </row>
    <row r="228" spans="1:8" x14ac:dyDescent="0.25">
      <c r="A228" s="53">
        <v>464671</v>
      </c>
      <c r="B228" s="128">
        <v>2117</v>
      </c>
      <c r="C228" s="130">
        <v>1692</v>
      </c>
      <c r="D228" s="129" t="s">
        <v>154</v>
      </c>
      <c r="E228" s="53">
        <v>582165</v>
      </c>
      <c r="F228" s="128">
        <v>3647</v>
      </c>
      <c r="G228" s="130">
        <v>2914</v>
      </c>
      <c r="H228" t="s">
        <v>154</v>
      </c>
    </row>
    <row r="229" spans="1:8" x14ac:dyDescent="0.25">
      <c r="A229" s="53">
        <v>464941</v>
      </c>
      <c r="B229" s="128">
        <v>1692</v>
      </c>
      <c r="C229" s="130">
        <v>1268</v>
      </c>
      <c r="D229" s="129" t="s">
        <v>154</v>
      </c>
      <c r="E229" s="53">
        <v>582503</v>
      </c>
      <c r="F229" s="128">
        <v>2914</v>
      </c>
      <c r="G229" s="130">
        <v>2182</v>
      </c>
      <c r="H229" t="s">
        <v>154</v>
      </c>
    </row>
    <row r="230" spans="1:8" x14ac:dyDescent="0.25">
      <c r="A230" s="53">
        <v>465211</v>
      </c>
      <c r="B230" s="128">
        <v>1268</v>
      </c>
      <c r="C230" s="130">
        <v>846</v>
      </c>
      <c r="D230" s="129" t="s">
        <v>154</v>
      </c>
      <c r="E230" s="53">
        <v>582841</v>
      </c>
      <c r="F230" s="128">
        <v>2182</v>
      </c>
      <c r="G230" s="130">
        <v>1456</v>
      </c>
      <c r="H230" t="s">
        <v>154</v>
      </c>
    </row>
    <row r="231" spans="1:8" x14ac:dyDescent="0.25">
      <c r="A231" s="53">
        <v>465479</v>
      </c>
      <c r="B231" s="128">
        <v>846</v>
      </c>
      <c r="C231" s="130">
        <v>422</v>
      </c>
      <c r="D231" s="129" t="s">
        <v>154</v>
      </c>
      <c r="E231" s="53">
        <v>583177</v>
      </c>
      <c r="F231" s="128">
        <v>1456</v>
      </c>
      <c r="G231" s="130">
        <v>725</v>
      </c>
      <c r="H231" t="s">
        <v>154</v>
      </c>
    </row>
    <row r="232" spans="1:8" x14ac:dyDescent="0.25">
      <c r="A232" s="53">
        <v>465749</v>
      </c>
      <c r="B232" s="128">
        <v>422</v>
      </c>
      <c r="C232" s="130">
        <v>0</v>
      </c>
      <c r="D232" s="129" t="s">
        <v>154</v>
      </c>
      <c r="E232" s="53">
        <v>583515</v>
      </c>
      <c r="F232" s="128">
        <v>725</v>
      </c>
      <c r="G232" s="130">
        <v>0</v>
      </c>
      <c r="H232" t="s">
        <v>154</v>
      </c>
    </row>
    <row r="233" spans="1:8" x14ac:dyDescent="0.25">
      <c r="A233" s="53">
        <v>466017</v>
      </c>
      <c r="B233" s="128">
        <v>0</v>
      </c>
      <c r="C233" s="142"/>
      <c r="D233" s="129" t="s">
        <v>154</v>
      </c>
      <c r="E233" s="53">
        <v>583851</v>
      </c>
      <c r="F233" s="128">
        <v>0</v>
      </c>
      <c r="G233" s="130"/>
      <c r="H233" t="s">
        <v>154</v>
      </c>
    </row>
  </sheetData>
  <sheetProtection algorithmName="SHA-512" hashValue="MCk99mRaMQfgGuDxWj1t6yA8elYNzLu2xKC9IRlK0YYtz4E9s2uw4+k5KiJ2ZVM5Uo9lAADnQ59I6ECGSgZMNA==" saltValue="elY0BUKXdZasCDoKmp5DPg==" spinCount="100000" sheet="1" objects="1" scenarios="1"/>
  <phoneticPr fontId="6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r T Y U o H 2 I D u k A A A A 9 Q A A A B I A H A B D b 2 5 m a W c v U G F j a 2 F n Z S 5 4 b W w g o h g A K K A U A A A A A A A A A A A A A A A A A A A A A A A A A A A A h Y + x D o I w G I R f h X S n L c V B y U + J c Z X E a G J c m 1 K h E Y q h x f J u D j 6 S r y B G U T f H + + 4 u u b t f b 5 A N T R 1 c V G d 1 a 1 I U Y Y o C Z W R b a F O m q H f H c I 4 y D h s h T 6 J U w R g 2 N h m s T l H l 3 D k h x H u P f Y z b r i S M 0 o g c 8 v V O V q o R o T b W C S M V + r S K / y 3 E Y f 8 a w x l e x H j G G K Z A J g a 5 N l + f j X O f 7 g + E V V + 7 v l N c 2 X C 5 B T J J I O 8 L / A F Q S w M E F A A C A A g A y r T Y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q 0 2 F I o i k e 4 D g A A A B E A A A A T A B w A R m 9 y b X V s Y X M v U 2 V j d G l v b j E u b S C i G A A o o B Q A A A A A A A A A A A A A A A A A A A A A A A A A A A A r T k 0 u y c z P U w i G 0 I b W A F B L A Q I t A B Q A A g A I A M q 0 2 F K B 9 i A 7 p A A A A P U A A A A S A A A A A A A A A A A A A A A A A A A A A A B D b 2 5 m a W c v U G F j a 2 F n Z S 5 4 b W x Q S w E C L Q A U A A I A C A D K t N h S D 8 r p q 6 Q A A A D p A A A A E w A A A A A A A A A A A A A A A A D w A A A A W 0 N v b n R l b n R f V H l w Z X N d L n h t b F B L A Q I t A B Q A A g A I A M q 0 2 F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O a A X G J e t a T Z u I q o 4 p 0 M S n A A A A A A I A A A A A A B B m A A A A A Q A A I A A A A L h b O 3 k H e 7 Q M 1 h S c t 2 G Z h y u 9 M D Z e s 0 B E 8 Z l 8 L T M a X I M P A A A A A A 6 A A A A A A g A A I A A A A L g Q 3 a J j c W F y k x Y U J J 5 M 6 a q S T 1 z S M z Y P h y a 1 c n s P y j 2 e U A A A A D Q T 5 j R W 9 G W j n n 0 I 7 + / j G / o v q R e X 0 t r 0 / r w z z A d V G 4 r i i 9 8 T e P 5 N b I K 6 y K 5 I 7 N l T C L 9 + i B j J 7 I Z O o Q 0 K w k F P U g L R h M v P g M 2 s Z V n o I z O i U Q 6 J Q A A A A E M S f u e + C P b Q B a i e / c Q T g b R m p H J Y J R B A K 4 c P 3 S N 8 D l e o 1 G I s u x S U z O H x p C + l f m t k V a c p S 5 J 0 A r C C j q V k p p x K Z E s = < / D a t a M a s h u p > 
</file>

<file path=customXml/itemProps1.xml><?xml version="1.0" encoding="utf-8"?>
<ds:datastoreItem xmlns:ds="http://schemas.openxmlformats.org/officeDocument/2006/customXml" ds:itemID="{52A36932-A8C8-4BEF-A09D-60E36201974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Planilla de Liquidación</vt:lpstr>
      <vt:lpstr>Escala Impuesto 2023 mensual</vt:lpstr>
      <vt:lpstr>AnexoIV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Paula Andrea Ataria</cp:lastModifiedBy>
  <cp:revision/>
  <cp:lastPrinted>2022-12-28T21:59:59Z</cp:lastPrinted>
  <dcterms:created xsi:type="dcterms:W3CDTF">2021-06-15T23:45:15Z</dcterms:created>
  <dcterms:modified xsi:type="dcterms:W3CDTF">2023-05-18T14:16:30Z</dcterms:modified>
  <cp:category/>
  <cp:contentStatus/>
</cp:coreProperties>
</file>