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omicasuba-my.sharepoint.com/personal/70at22963260_campus_economicas_uba_ar/Documents/Documentos/Consejo/Planilla 4 categoría Revisión/Modelo 2023/"/>
    </mc:Choice>
  </mc:AlternateContent>
  <xr:revisionPtr revIDLastSave="0" documentId="8_{B824F2C6-21D0-4738-903E-03D4B59A10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lla de Liquidación" sheetId="1" r:id="rId1"/>
    <sheet name="Escala Impuesto 2023 mensual" sheetId="2" r:id="rId2"/>
    <sheet name="AnexoIV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G15" i="1" l="1"/>
  <c r="D102" i="1" l="1"/>
  <c r="M81" i="1" s="1"/>
  <c r="E106" i="1"/>
  <c r="E109" i="1"/>
  <c r="E112" i="1"/>
  <c r="D113" i="1"/>
  <c r="E113" i="1" s="1"/>
  <c r="D112" i="1"/>
  <c r="D111" i="1"/>
  <c r="E111" i="1" s="1"/>
  <c r="D109" i="1"/>
  <c r="D108" i="1"/>
  <c r="E108" i="1" s="1"/>
  <c r="D107" i="1"/>
  <c r="E107" i="1" s="1"/>
  <c r="D106" i="1"/>
  <c r="D105" i="1"/>
  <c r="E105" i="1" s="1"/>
  <c r="D104" i="1"/>
  <c r="E104" i="1" s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B68" i="1" s="1"/>
  <c r="M70" i="1"/>
  <c r="M65" i="1"/>
  <c r="L70" i="1"/>
  <c r="L65" i="1"/>
  <c r="K70" i="1"/>
  <c r="K65" i="1"/>
  <c r="J70" i="1"/>
  <c r="J65" i="1"/>
  <c r="I70" i="1"/>
  <c r="I65" i="1"/>
  <c r="H70" i="1"/>
  <c r="H65" i="1"/>
  <c r="G70" i="1"/>
  <c r="G65" i="1"/>
  <c r="F70" i="1"/>
  <c r="F65" i="1"/>
  <c r="E70" i="1"/>
  <c r="E65" i="1"/>
  <c r="D70" i="1"/>
  <c r="D65" i="1"/>
  <c r="C70" i="1"/>
  <c r="C65" i="1"/>
  <c r="B70" i="1"/>
  <c r="B69" i="1"/>
  <c r="B67" i="1"/>
  <c r="B65" i="1"/>
  <c r="E110" i="1" l="1"/>
  <c r="B83" i="1" s="1"/>
  <c r="E103" i="1"/>
  <c r="M82" i="1" s="1"/>
  <c r="K83" i="1"/>
  <c r="D83" i="1"/>
  <c r="G81" i="1"/>
  <c r="K81" i="1"/>
  <c r="H81" i="1"/>
  <c r="C81" i="1"/>
  <c r="D81" i="1"/>
  <c r="L81" i="1"/>
  <c r="E81" i="1"/>
  <c r="F81" i="1"/>
  <c r="I81" i="1"/>
  <c r="B81" i="1"/>
  <c r="J81" i="1"/>
  <c r="C67" i="1"/>
  <c r="D67" i="1" s="1"/>
  <c r="C69" i="1"/>
  <c r="C68" i="1"/>
  <c r="G82" i="1" l="1"/>
  <c r="D82" i="1"/>
  <c r="F82" i="1"/>
  <c r="L82" i="1"/>
  <c r="I83" i="1"/>
  <c r="H83" i="1"/>
  <c r="G83" i="1"/>
  <c r="E83" i="1"/>
  <c r="C82" i="1"/>
  <c r="B82" i="1"/>
  <c r="K82" i="1"/>
  <c r="I82" i="1"/>
  <c r="H82" i="1"/>
  <c r="E82" i="1"/>
  <c r="J82" i="1"/>
  <c r="E67" i="1"/>
  <c r="D69" i="1"/>
  <c r="D68" i="1"/>
  <c r="E68" i="1" s="1"/>
  <c r="E69" i="1" l="1"/>
  <c r="F67" i="1"/>
  <c r="G67" i="1" s="1"/>
  <c r="F68" i="1"/>
  <c r="G68" i="1" s="1"/>
  <c r="H67" i="1" l="1"/>
  <c r="F69" i="1"/>
  <c r="H68" i="1"/>
  <c r="I68" i="1" s="1"/>
  <c r="I67" i="1" l="1"/>
  <c r="J67" i="1" s="1"/>
  <c r="G69" i="1"/>
  <c r="H69" i="1" s="1"/>
  <c r="J68" i="1"/>
  <c r="K68" i="1" s="1"/>
  <c r="K67" i="1" l="1"/>
  <c r="L67" i="1" s="1"/>
  <c r="M67" i="1" s="1"/>
  <c r="I69" i="1"/>
  <c r="L68" i="1"/>
  <c r="M68" i="1" s="1"/>
  <c r="J69" i="1" l="1"/>
  <c r="K69" i="1" s="1"/>
  <c r="L69" i="1" l="1"/>
  <c r="M69" i="1" s="1"/>
  <c r="C160" i="1" l="1"/>
  <c r="C159" i="1"/>
  <c r="C158" i="1"/>
  <c r="B53" i="1"/>
  <c r="M55" i="1"/>
  <c r="L55" i="1"/>
  <c r="K55" i="1"/>
  <c r="J55" i="1"/>
  <c r="I55" i="1"/>
  <c r="H55" i="1"/>
  <c r="G55" i="1"/>
  <c r="F55" i="1"/>
  <c r="E55" i="1"/>
  <c r="D55" i="1"/>
  <c r="C55" i="1"/>
  <c r="B55" i="1"/>
  <c r="M50" i="1"/>
  <c r="L50" i="1"/>
  <c r="K50" i="1"/>
  <c r="J50" i="1"/>
  <c r="I50" i="1"/>
  <c r="H50" i="1"/>
  <c r="G50" i="1"/>
  <c r="F50" i="1"/>
  <c r="E50" i="1"/>
  <c r="D50" i="1"/>
  <c r="C50" i="1"/>
  <c r="B50" i="1"/>
  <c r="M149" i="1"/>
  <c r="M152" i="1" s="1"/>
  <c r="L149" i="1"/>
  <c r="L152" i="1" s="1"/>
  <c r="K149" i="1"/>
  <c r="K152" i="1" s="1"/>
  <c r="J149" i="1"/>
  <c r="J152" i="1" s="1"/>
  <c r="I149" i="1"/>
  <c r="I152" i="1" s="1"/>
  <c r="H149" i="1"/>
  <c r="H152" i="1" s="1"/>
  <c r="G149" i="1"/>
  <c r="G152" i="1" s="1"/>
  <c r="F149" i="1"/>
  <c r="F152" i="1" s="1"/>
  <c r="E149" i="1"/>
  <c r="E152" i="1" s="1"/>
  <c r="D149" i="1"/>
  <c r="D152" i="1" s="1"/>
  <c r="C149" i="1"/>
  <c r="C152" i="1" s="1"/>
  <c r="B149" i="1"/>
  <c r="B152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G151" i="1" l="1"/>
  <c r="G150" i="1"/>
  <c r="H151" i="1"/>
  <c r="H150" i="1"/>
  <c r="I151" i="1"/>
  <c r="I150" i="1"/>
  <c r="F151" i="1"/>
  <c r="F150" i="1"/>
  <c r="J150" i="1"/>
  <c r="J151" i="1"/>
  <c r="C151" i="1"/>
  <c r="C150" i="1"/>
  <c r="K151" i="1"/>
  <c r="K150" i="1"/>
  <c r="D151" i="1"/>
  <c r="D150" i="1"/>
  <c r="L151" i="1"/>
  <c r="L150" i="1"/>
  <c r="B150" i="1"/>
  <c r="B151" i="1"/>
  <c r="E151" i="1"/>
  <c r="E150" i="1"/>
  <c r="M151" i="1"/>
  <c r="M150" i="1"/>
  <c r="C161" i="1"/>
  <c r="C52" i="1" l="1"/>
  <c r="D52" i="1"/>
  <c r="E52" i="1"/>
  <c r="F52" i="1"/>
  <c r="G52" i="1"/>
  <c r="H52" i="1"/>
  <c r="I52" i="1"/>
  <c r="J52" i="1"/>
  <c r="K52" i="1"/>
  <c r="L52" i="1"/>
  <c r="M52" i="1"/>
  <c r="B52" i="1"/>
  <c r="M53" i="1" l="1"/>
  <c r="C53" i="1"/>
  <c r="D53" i="1"/>
  <c r="E53" i="1"/>
  <c r="F53" i="1"/>
  <c r="G53" i="1"/>
  <c r="H53" i="1"/>
  <c r="I53" i="1"/>
  <c r="J53" i="1"/>
  <c r="K53" i="1"/>
  <c r="L53" i="1"/>
  <c r="B47" i="1"/>
  <c r="C126" i="1"/>
  <c r="D126" i="1"/>
  <c r="E126" i="1"/>
  <c r="F126" i="1"/>
  <c r="G126" i="1"/>
  <c r="H126" i="1"/>
  <c r="I126" i="1"/>
  <c r="J126" i="1"/>
  <c r="K126" i="1"/>
  <c r="L126" i="1"/>
  <c r="M126" i="1"/>
  <c r="B126" i="1"/>
  <c r="C47" i="1"/>
  <c r="D47" i="1"/>
  <c r="E47" i="1"/>
  <c r="F47" i="1"/>
  <c r="G47" i="1"/>
  <c r="H47" i="1"/>
  <c r="I47" i="1"/>
  <c r="J47" i="1"/>
  <c r="K47" i="1"/>
  <c r="L47" i="1"/>
  <c r="M47" i="1"/>
  <c r="C48" i="1"/>
  <c r="D48" i="1"/>
  <c r="E48" i="1"/>
  <c r="F48" i="1"/>
  <c r="G48" i="1"/>
  <c r="H48" i="1"/>
  <c r="I48" i="1"/>
  <c r="J48" i="1"/>
  <c r="K48" i="1"/>
  <c r="L48" i="1"/>
  <c r="M48" i="1"/>
  <c r="B48" i="1"/>
  <c r="B19" i="1"/>
  <c r="B16" i="1"/>
  <c r="C121" i="1"/>
  <c r="C83" i="1" s="1"/>
  <c r="F121" i="1"/>
  <c r="F83" i="1" s="1"/>
  <c r="J83" i="1"/>
  <c r="L83" i="1"/>
  <c r="M121" i="1"/>
  <c r="M83" i="1" s="1"/>
  <c r="B20" i="1" l="1"/>
  <c r="B22" i="1"/>
  <c r="B21" i="1"/>
  <c r="B66" i="1"/>
  <c r="B41" i="1"/>
  <c r="M19" i="1"/>
  <c r="L19" i="1"/>
  <c r="K19" i="1"/>
  <c r="J19" i="1"/>
  <c r="I19" i="1"/>
  <c r="H19" i="1"/>
  <c r="G19" i="1"/>
  <c r="F19" i="1"/>
  <c r="E19" i="1"/>
  <c r="D19" i="1"/>
  <c r="C19" i="1"/>
  <c r="C66" i="1" l="1"/>
  <c r="B24" i="1"/>
  <c r="B42" i="1"/>
  <c r="B147" i="1" l="1"/>
  <c r="B144" i="1"/>
  <c r="B44" i="1"/>
  <c r="D66" i="1"/>
  <c r="B87" i="1" l="1"/>
  <c r="B88" i="1" s="1"/>
  <c r="B145" i="1"/>
  <c r="E66" i="1"/>
  <c r="F66" i="1" s="1"/>
  <c r="G66" i="1" s="1"/>
  <c r="B26" i="1"/>
  <c r="C16" i="1"/>
  <c r="D16" i="1"/>
  <c r="E16" i="1"/>
  <c r="F16" i="1"/>
  <c r="I16" i="1"/>
  <c r="J16" i="1"/>
  <c r="K16" i="1"/>
  <c r="L16" i="1"/>
  <c r="M16" i="1"/>
  <c r="C21" i="1" l="1"/>
  <c r="C22" i="1"/>
  <c r="C20" i="1"/>
  <c r="M20" i="1"/>
  <c r="M22" i="1"/>
  <c r="M21" i="1"/>
  <c r="L22" i="1"/>
  <c r="L21" i="1"/>
  <c r="L20" i="1"/>
  <c r="F20" i="1"/>
  <c r="F22" i="1"/>
  <c r="F21" i="1"/>
  <c r="K20" i="1"/>
  <c r="K22" i="1"/>
  <c r="K21" i="1"/>
  <c r="E22" i="1"/>
  <c r="E21" i="1"/>
  <c r="E20" i="1"/>
  <c r="J20" i="1"/>
  <c r="J22" i="1"/>
  <c r="J21" i="1"/>
  <c r="I21" i="1"/>
  <c r="I22" i="1"/>
  <c r="I20" i="1"/>
  <c r="D21" i="1"/>
  <c r="D20" i="1"/>
  <c r="D22" i="1"/>
  <c r="H66" i="1"/>
  <c r="M41" i="1"/>
  <c r="L41" i="1"/>
  <c r="K41" i="1"/>
  <c r="J41" i="1"/>
  <c r="I41" i="1"/>
  <c r="F41" i="1"/>
  <c r="E41" i="1"/>
  <c r="D41" i="1"/>
  <c r="C41" i="1"/>
  <c r="I66" i="1" l="1"/>
  <c r="D24" i="1"/>
  <c r="D26" i="1" s="1"/>
  <c r="K24" i="1"/>
  <c r="K26" i="1" s="1"/>
  <c r="D42" i="1"/>
  <c r="E42" i="1"/>
  <c r="C42" i="1"/>
  <c r="C44" i="1" s="1"/>
  <c r="C87" i="1" s="1"/>
  <c r="F42" i="1"/>
  <c r="F44" i="1" s="1"/>
  <c r="F87" i="1" s="1"/>
  <c r="J24" i="1"/>
  <c r="J26" i="1" s="1"/>
  <c r="F24" i="1"/>
  <c r="F26" i="1" s="1"/>
  <c r="I24" i="1"/>
  <c r="I26" i="1" s="1"/>
  <c r="L24" i="1"/>
  <c r="L26" i="1" s="1"/>
  <c r="E24" i="1"/>
  <c r="E26" i="1" s="1"/>
  <c r="M24" i="1"/>
  <c r="M26" i="1" s="1"/>
  <c r="C24" i="1"/>
  <c r="C26" i="1" s="1"/>
  <c r="B146" i="1"/>
  <c r="B153" i="1" s="1"/>
  <c r="E57" i="1" l="1"/>
  <c r="E71" i="1"/>
  <c r="E147" i="1"/>
  <c r="E144" i="1"/>
  <c r="E44" i="1"/>
  <c r="E87" i="1" s="1"/>
  <c r="D57" i="1"/>
  <c r="D71" i="1"/>
  <c r="D147" i="1"/>
  <c r="D144" i="1"/>
  <c r="F147" i="1"/>
  <c r="F144" i="1"/>
  <c r="F57" i="1"/>
  <c r="F71" i="1"/>
  <c r="D44" i="1"/>
  <c r="D87" i="1" s="1"/>
  <c r="C57" i="1"/>
  <c r="C71" i="1"/>
  <c r="C147" i="1"/>
  <c r="C144" i="1"/>
  <c r="J66" i="1"/>
  <c r="K66" i="1" s="1"/>
  <c r="B155" i="1"/>
  <c r="B154" i="1"/>
  <c r="C88" i="1"/>
  <c r="D145" i="1" l="1"/>
  <c r="E145" i="1"/>
  <c r="F145" i="1"/>
  <c r="F146" i="1" s="1"/>
  <c r="F153" i="1" s="1"/>
  <c r="C145" i="1"/>
  <c r="L66" i="1"/>
  <c r="M66" i="1" s="1"/>
  <c r="D88" i="1"/>
  <c r="E88" i="1" s="1"/>
  <c r="F88" i="1" s="1"/>
  <c r="B54" i="1"/>
  <c r="B49" i="1"/>
  <c r="B63" i="1" l="1"/>
  <c r="B62" i="1"/>
  <c r="B61" i="1"/>
  <c r="F155" i="1"/>
  <c r="F154" i="1"/>
  <c r="E146" i="1"/>
  <c r="E153" i="1" s="1"/>
  <c r="D146" i="1"/>
  <c r="D153" i="1" s="1"/>
  <c r="C146" i="1"/>
  <c r="C153" i="1" s="1"/>
  <c r="B71" i="1" l="1"/>
  <c r="B73" i="1" s="1"/>
  <c r="D155" i="1"/>
  <c r="D154" i="1"/>
  <c r="C154" i="1"/>
  <c r="C49" i="1" s="1"/>
  <c r="C155" i="1"/>
  <c r="C54" i="1" s="1"/>
  <c r="E155" i="1"/>
  <c r="E154" i="1"/>
  <c r="G16" i="1"/>
  <c r="G21" i="1" l="1"/>
  <c r="G20" i="1"/>
  <c r="G22" i="1"/>
  <c r="C63" i="1"/>
  <c r="C62" i="1"/>
  <c r="C61" i="1"/>
  <c r="G41" i="1"/>
  <c r="G42" i="1" l="1"/>
  <c r="G24" i="1"/>
  <c r="G26" i="1" s="1"/>
  <c r="D49" i="1"/>
  <c r="D54" i="1"/>
  <c r="E54" i="1"/>
  <c r="H16" i="1"/>
  <c r="G58" i="1" l="1"/>
  <c r="G147" i="1"/>
  <c r="G144" i="1"/>
  <c r="H21" i="1"/>
  <c r="H22" i="1"/>
  <c r="H20" i="1"/>
  <c r="G44" i="1"/>
  <c r="G87" i="1" s="1"/>
  <c r="G88" i="1" s="1"/>
  <c r="D63" i="1"/>
  <c r="D61" i="1"/>
  <c r="D62" i="1"/>
  <c r="C73" i="1"/>
  <c r="H41" i="1"/>
  <c r="F49" i="1"/>
  <c r="E49" i="1"/>
  <c r="F54" i="1"/>
  <c r="M42" i="1" l="1"/>
  <c r="L42" i="1"/>
  <c r="G145" i="1"/>
  <c r="G146" i="1" s="1"/>
  <c r="G153" i="1" s="1"/>
  <c r="E63" i="1"/>
  <c r="E62" i="1"/>
  <c r="E61" i="1"/>
  <c r="F63" i="1"/>
  <c r="F62" i="1"/>
  <c r="F61" i="1"/>
  <c r="H24" i="1"/>
  <c r="H26" i="1" s="1"/>
  <c r="J42" i="1"/>
  <c r="K42" i="1"/>
  <c r="H42" i="1"/>
  <c r="I42" i="1"/>
  <c r="I147" i="1" l="1"/>
  <c r="I144" i="1"/>
  <c r="I71" i="1"/>
  <c r="I57" i="1"/>
  <c r="I44" i="1"/>
  <c r="I87" i="1" s="1"/>
  <c r="J147" i="1"/>
  <c r="J144" i="1"/>
  <c r="J71" i="1"/>
  <c r="J57" i="1"/>
  <c r="J44" i="1"/>
  <c r="J87" i="1" s="1"/>
  <c r="L147" i="1"/>
  <c r="L144" i="1"/>
  <c r="L57" i="1"/>
  <c r="L71" i="1"/>
  <c r="L44" i="1"/>
  <c r="L87" i="1" s="1"/>
  <c r="M147" i="1"/>
  <c r="M144" i="1"/>
  <c r="M44" i="1"/>
  <c r="M87" i="1" s="1"/>
  <c r="H147" i="1"/>
  <c r="H144" i="1"/>
  <c r="H71" i="1"/>
  <c r="H57" i="1"/>
  <c r="K71" i="1"/>
  <c r="K57" i="1"/>
  <c r="K147" i="1"/>
  <c r="K144" i="1"/>
  <c r="K44" i="1"/>
  <c r="K87" i="1" s="1"/>
  <c r="H44" i="1"/>
  <c r="H87" i="1" s="1"/>
  <c r="H88" i="1" s="1"/>
  <c r="F73" i="1"/>
  <c r="D73" i="1"/>
  <c r="G155" i="1"/>
  <c r="G154" i="1"/>
  <c r="I88" i="1" l="1"/>
  <c r="J88" i="1" s="1"/>
  <c r="K88" i="1" s="1"/>
  <c r="L88" i="1" s="1"/>
  <c r="M88" i="1" s="1"/>
  <c r="M58" i="1"/>
  <c r="M145" i="1"/>
  <c r="I145" i="1"/>
  <c r="I146" i="1" s="1"/>
  <c r="I153" i="1" s="1"/>
  <c r="K145" i="1"/>
  <c r="L145" i="1"/>
  <c r="J145" i="1"/>
  <c r="H145" i="1"/>
  <c r="E73" i="1"/>
  <c r="G49" i="1"/>
  <c r="G54" i="1"/>
  <c r="G63" i="1" l="1"/>
  <c r="G62" i="1"/>
  <c r="G61" i="1"/>
  <c r="I155" i="1"/>
  <c r="I154" i="1"/>
  <c r="H146" i="1"/>
  <c r="H153" i="1" s="1"/>
  <c r="J146" i="1" l="1"/>
  <c r="J153" i="1" s="1"/>
  <c r="H155" i="1"/>
  <c r="I54" i="1" s="1"/>
  <c r="H154" i="1"/>
  <c r="H49" i="1" s="1"/>
  <c r="H54" i="1" l="1"/>
  <c r="H63" i="1" s="1"/>
  <c r="J155" i="1"/>
  <c r="J54" i="1" s="1"/>
  <c r="J154" i="1"/>
  <c r="J49" i="1" s="1"/>
  <c r="K146" i="1"/>
  <c r="K153" i="1" s="1"/>
  <c r="I49" i="1"/>
  <c r="I63" i="1" l="1"/>
  <c r="I62" i="1"/>
  <c r="I61" i="1"/>
  <c r="H62" i="1"/>
  <c r="J63" i="1"/>
  <c r="J62" i="1"/>
  <c r="J61" i="1"/>
  <c r="H61" i="1"/>
  <c r="K154" i="1"/>
  <c r="K49" i="1" s="1"/>
  <c r="K155" i="1"/>
  <c r="M146" i="1"/>
  <c r="M153" i="1" s="1"/>
  <c r="L146" i="1"/>
  <c r="L153" i="1" s="1"/>
  <c r="H73" i="1" l="1"/>
  <c r="J73" i="1"/>
  <c r="I73" i="1"/>
  <c r="L155" i="1"/>
  <c r="L54" i="1" s="1"/>
  <c r="L154" i="1"/>
  <c r="L49" i="1" s="1"/>
  <c r="M155" i="1"/>
  <c r="M154" i="1"/>
  <c r="K54" i="1"/>
  <c r="K63" i="1" s="1"/>
  <c r="L63" i="1" l="1"/>
  <c r="L62" i="1"/>
  <c r="L61" i="1"/>
  <c r="K61" i="1"/>
  <c r="K62" i="1"/>
  <c r="M49" i="1"/>
  <c r="M54" i="1"/>
  <c r="B56" i="1"/>
  <c r="B57" i="1" s="1"/>
  <c r="M63" i="1" l="1"/>
  <c r="M62" i="1"/>
  <c r="M61" i="1"/>
  <c r="K73" i="1"/>
  <c r="L73" i="1"/>
  <c r="B59" i="1"/>
  <c r="C56" i="1"/>
  <c r="B74" i="1" l="1"/>
  <c r="B75" i="1" s="1"/>
  <c r="C59" i="1"/>
  <c r="B139" i="1" l="1"/>
  <c r="B77" i="1" s="1"/>
  <c r="B76" i="1"/>
  <c r="C74" i="1"/>
  <c r="C75" i="1" s="1"/>
  <c r="C139" i="1" l="1"/>
  <c r="B78" i="1"/>
  <c r="B140" i="1" s="1"/>
  <c r="C76" i="1" l="1"/>
  <c r="C77" i="1"/>
  <c r="B141" i="1"/>
  <c r="B142" i="1" s="1"/>
  <c r="B85" i="1" s="1"/>
  <c r="C78" i="1" l="1"/>
  <c r="B86" i="1"/>
  <c r="D56" i="1"/>
  <c r="C140" i="1" l="1"/>
  <c r="B89" i="1"/>
  <c r="B94" i="1" s="1"/>
  <c r="D59" i="1"/>
  <c r="C141" i="1" l="1"/>
  <c r="C142" i="1" s="1"/>
  <c r="D2" i="2"/>
  <c r="D3" i="2" s="1"/>
  <c r="D4" i="2" s="1"/>
  <c r="B95" i="1" s="1"/>
  <c r="B96" i="1" s="1"/>
  <c r="D74" i="1"/>
  <c r="D75" i="1" s="1"/>
  <c r="C85" i="1" l="1"/>
  <c r="C86" i="1" s="1"/>
  <c r="C89" i="1" s="1"/>
  <c r="C94" i="1" s="1"/>
  <c r="D139" i="1"/>
  <c r="D76" i="1" l="1"/>
  <c r="D77" i="1"/>
  <c r="E2" i="2"/>
  <c r="E3" i="2" s="1"/>
  <c r="E4" i="2" s="1"/>
  <c r="C95" i="1" s="1"/>
  <c r="C96" i="1" s="1"/>
  <c r="D78" i="1" l="1"/>
  <c r="E56" i="1"/>
  <c r="D141" i="1" l="1"/>
  <c r="D140" i="1"/>
  <c r="E59" i="1"/>
  <c r="D142" i="1" l="1"/>
  <c r="E74" i="1"/>
  <c r="E75" i="1" s="1"/>
  <c r="D85" i="1" l="1"/>
  <c r="D86" i="1" s="1"/>
  <c r="D89" i="1" s="1"/>
  <c r="D94" i="1" s="1"/>
  <c r="F2" i="2" s="1"/>
  <c r="F3" i="2" s="1"/>
  <c r="F4" i="2" s="1"/>
  <c r="D95" i="1" s="1"/>
  <c r="D96" i="1" s="1"/>
  <c r="E139" i="1"/>
  <c r="E76" i="1" s="1"/>
  <c r="E77" i="1" l="1"/>
  <c r="E78" i="1" s="1"/>
  <c r="F56" i="1"/>
  <c r="G72" i="1" s="1"/>
  <c r="G73" i="1" s="1"/>
  <c r="E141" i="1" l="1"/>
  <c r="E140" i="1"/>
  <c r="E142" i="1" l="1"/>
  <c r="F59" i="1"/>
  <c r="E85" i="1" l="1"/>
  <c r="E86" i="1" s="1"/>
  <c r="E89" i="1" s="1"/>
  <c r="E94" i="1" s="1"/>
  <c r="F74" i="1"/>
  <c r="F75" i="1" s="1"/>
  <c r="F139" i="1" l="1"/>
  <c r="F76" i="1" s="1"/>
  <c r="G56" i="1"/>
  <c r="F77" i="1" l="1"/>
  <c r="F78" i="1" s="1"/>
  <c r="F141" i="1" s="1"/>
  <c r="G59" i="1"/>
  <c r="F140" i="1" l="1"/>
  <c r="F142" i="1" s="1"/>
  <c r="G74" i="1"/>
  <c r="G75" i="1" s="1"/>
  <c r="F85" i="1" l="1"/>
  <c r="F86" i="1" s="1"/>
  <c r="F89" i="1" s="1"/>
  <c r="F94" i="1" s="1"/>
  <c r="G139" i="1"/>
  <c r="G77" i="1" s="1"/>
  <c r="H56" i="1"/>
  <c r="G76" i="1" l="1"/>
  <c r="G78" i="1" s="1"/>
  <c r="G141" i="1" s="1"/>
  <c r="H59" i="1"/>
  <c r="H74" i="1" l="1"/>
  <c r="H75" i="1" s="1"/>
  <c r="H139" i="1" l="1"/>
  <c r="I56" i="1"/>
  <c r="H77" i="1" l="1"/>
  <c r="H76" i="1"/>
  <c r="I59" i="1"/>
  <c r="H78" i="1" l="1"/>
  <c r="I74" i="1"/>
  <c r="I75" i="1" s="1"/>
  <c r="I139" i="1" l="1"/>
  <c r="I76" i="1" s="1"/>
  <c r="J56" i="1"/>
  <c r="I77" i="1" l="1"/>
  <c r="I78" i="1" s="1"/>
  <c r="J59" i="1"/>
  <c r="J74" i="1" l="1"/>
  <c r="J75" i="1" s="1"/>
  <c r="J139" i="1" l="1"/>
  <c r="J76" i="1" s="1"/>
  <c r="K56" i="1"/>
  <c r="J77" i="1" l="1"/>
  <c r="J78" i="1" s="1"/>
  <c r="K59" i="1"/>
  <c r="K74" i="1" l="1"/>
  <c r="K75" i="1" s="1"/>
  <c r="K139" i="1" l="1"/>
  <c r="K76" i="1" s="1"/>
  <c r="L56" i="1"/>
  <c r="K77" i="1" l="1"/>
  <c r="K78" i="1" s="1"/>
  <c r="M72" i="1"/>
  <c r="M73" i="1" s="1"/>
  <c r="L59" i="1"/>
  <c r="L74" i="1" l="1"/>
  <c r="L75" i="1" s="1"/>
  <c r="L139" i="1" l="1"/>
  <c r="L76" i="1" s="1"/>
  <c r="M56" i="1"/>
  <c r="M59" i="1" s="1"/>
  <c r="L77" i="1" l="1"/>
  <c r="L78" i="1" s="1"/>
  <c r="M74" i="1"/>
  <c r="M75" i="1" s="1"/>
  <c r="M139" i="1" l="1"/>
  <c r="M77" i="1" s="1"/>
  <c r="M76" i="1" l="1"/>
  <c r="M78" i="1" s="1"/>
  <c r="G2" i="2"/>
  <c r="G3" i="2" s="1"/>
  <c r="G4" i="2" s="1"/>
  <c r="E95" i="1" s="1"/>
  <c r="E96" i="1" s="1"/>
  <c r="G140" i="1"/>
  <c r="G142" i="1" s="1"/>
  <c r="G85" i="1" s="1"/>
  <c r="H2" i="2" l="1"/>
  <c r="H3" i="2" s="1"/>
  <c r="H4" i="2" s="1"/>
  <c r="F95" i="1" s="1"/>
  <c r="F96" i="1" s="1"/>
  <c r="G86" i="1" l="1"/>
  <c r="G89" i="1" l="1"/>
  <c r="G94" i="1" s="1"/>
  <c r="I2" i="2" s="1"/>
  <c r="I3" i="2" s="1"/>
  <c r="I4" i="2" s="1"/>
  <c r="G95" i="1" s="1"/>
  <c r="G96" i="1" s="1"/>
  <c r="H141" i="1"/>
  <c r="H140" i="1"/>
  <c r="H142" i="1" l="1"/>
  <c r="H85" i="1" l="1"/>
  <c r="H86" i="1" s="1"/>
  <c r="H89" i="1" l="1"/>
  <c r="H94" i="1" s="1"/>
  <c r="J2" i="2" s="1"/>
  <c r="J3" i="2" s="1"/>
  <c r="J4" i="2" s="1"/>
  <c r="H95" i="1" s="1"/>
  <c r="H96" i="1" s="1"/>
  <c r="I141" i="1"/>
  <c r="I140" i="1"/>
  <c r="I142" i="1" l="1"/>
  <c r="I85" i="1" s="1"/>
  <c r="I86" i="1" s="1"/>
  <c r="J141" i="1" l="1"/>
  <c r="I89" i="1"/>
  <c r="I94" i="1" s="1"/>
  <c r="K2" i="2" s="1"/>
  <c r="K3" i="2" s="1"/>
  <c r="K4" i="2" s="1"/>
  <c r="I95" i="1" s="1"/>
  <c r="I96" i="1" s="1"/>
  <c r="J140" i="1"/>
  <c r="J142" i="1" l="1"/>
  <c r="J85" i="1" s="1"/>
  <c r="J86" i="1" s="1"/>
  <c r="J89" i="1" l="1"/>
  <c r="J94" i="1" s="1"/>
  <c r="L2" i="2" s="1"/>
  <c r="L3" i="2" s="1"/>
  <c r="L4" i="2" s="1"/>
  <c r="J95" i="1" s="1"/>
  <c r="J96" i="1" s="1"/>
  <c r="K141" i="1"/>
  <c r="K140" i="1"/>
  <c r="K142" i="1" l="1"/>
  <c r="K85" i="1" s="1"/>
  <c r="K86" i="1" s="1"/>
  <c r="L140" i="1" s="1"/>
  <c r="L141" i="1" l="1"/>
  <c r="L142" i="1" s="1"/>
  <c r="L85" i="1" s="1"/>
  <c r="K89" i="1"/>
  <c r="K94" i="1" s="1"/>
  <c r="M2" i="2" s="1"/>
  <c r="M3" i="2" s="1"/>
  <c r="M4" i="2" s="1"/>
  <c r="K95" i="1" s="1"/>
  <c r="K96" i="1" s="1"/>
  <c r="L86" i="1" l="1"/>
  <c r="M141" i="1" l="1"/>
  <c r="M140" i="1"/>
  <c r="L89" i="1"/>
  <c r="L94" i="1" s="1"/>
  <c r="N2" i="2" s="1"/>
  <c r="N3" i="2" s="1"/>
  <c r="N4" i="2" s="1"/>
  <c r="L95" i="1" s="1"/>
  <c r="L96" i="1" s="1"/>
  <c r="M142" i="1" l="1"/>
  <c r="M85" i="1" s="1"/>
  <c r="M86" i="1" l="1"/>
  <c r="M89" i="1" s="1"/>
  <c r="M94" i="1" s="1"/>
  <c r="O2" i="2" s="1"/>
  <c r="O3" i="2" s="1"/>
  <c r="O4" i="2" s="1"/>
  <c r="M95" i="1" s="1"/>
  <c r="M96" i="1" s="1"/>
</calcChain>
</file>

<file path=xl/sharedStrings.xml><?xml version="1.0" encoding="utf-8"?>
<sst xmlns="http://schemas.openxmlformats.org/spreadsheetml/2006/main" count="484" uniqueCount="163">
  <si>
    <t>LIQUIDACIÓN  SUELDO MENSUAL</t>
  </si>
  <si>
    <t>Conceptos Liquidados por el agente de retención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</si>
  <si>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</si>
  <si>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</si>
  <si>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</si>
  <si>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</si>
  <si>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</si>
  <si>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</si>
  <si>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</si>
  <si>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</si>
  <si>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</si>
  <si>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</si>
  <si>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</si>
  <si>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</si>
  <si>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bruto</t>
  </si>
  <si>
    <t>Antigüedad</t>
  </si>
  <si>
    <t>Horas Extras Gravadas</t>
  </si>
  <si>
    <t xml:space="preserve">Horas Extras (diferencia exenta HS Extra - HS Comunes) </t>
  </si>
  <si>
    <t>Comisiones</t>
  </si>
  <si>
    <t>Plus Vacacional</t>
  </si>
  <si>
    <t>SAC</t>
  </si>
  <si>
    <t>Total conceptos remunerativos</t>
  </si>
  <si>
    <t xml:space="preserve">Conceptos no remunerativos habituales </t>
  </si>
  <si>
    <t xml:space="preserve">Conceptos no remunerativos no habituales </t>
  </si>
  <si>
    <t>Total conceptos no remunerativos</t>
  </si>
  <si>
    <t>Jubilación 11%</t>
  </si>
  <si>
    <t>Obra Social 3%</t>
  </si>
  <si>
    <t>Ley 19.032 3%</t>
  </si>
  <si>
    <t>Sindicato</t>
  </si>
  <si>
    <t>Total descuentos</t>
  </si>
  <si>
    <t>Remuneración Neta Mensual</t>
  </si>
  <si>
    <t>LIQUIDACION IMPUESTO A LAS GANANCIAS</t>
  </si>
  <si>
    <t>Pluriempleo (otros empleos)</t>
  </si>
  <si>
    <t xml:space="preserve">Retribuciones habituales no remunerativas </t>
  </si>
  <si>
    <t xml:space="preserve">Otras retribuciones no habituales remunerativas </t>
  </si>
  <si>
    <t xml:space="preserve">Retribuciones no habituales no remunerativas </t>
  </si>
  <si>
    <t>Conceptos Exentos</t>
  </si>
  <si>
    <t>Deducciones</t>
  </si>
  <si>
    <t xml:space="preserve">Remuneración Bruta Mensual </t>
  </si>
  <si>
    <t>Ganancia Bruta</t>
  </si>
  <si>
    <t>Agente de Retención</t>
  </si>
  <si>
    <t xml:space="preserve">Retribuciones habituales remunerativas </t>
  </si>
  <si>
    <t xml:space="preserve">Retribuciones no habituales remunerativas </t>
  </si>
  <si>
    <t>Pluriempleo</t>
  </si>
  <si>
    <t>Subtotal Ganancia Bruta</t>
  </si>
  <si>
    <t>SAC Proporcional Bruto</t>
  </si>
  <si>
    <t>Ajuste SAC Semestral Bruto Real</t>
  </si>
  <si>
    <t>Total Ganancia Bruta</t>
  </si>
  <si>
    <t>Deducciones Generales</t>
  </si>
  <si>
    <t xml:space="preserve">Intereses de préstamos hipotecarios </t>
  </si>
  <si>
    <t>Alquiler de la casa habitación  (40% hasta el Tope MNI)</t>
  </si>
  <si>
    <t>Personal de casas particulares (Tope MNI)</t>
  </si>
  <si>
    <t>Viáticos corta y media distancia (Tope 40% MNI)</t>
  </si>
  <si>
    <t>Viáticos larga distancia (Tope MNI)</t>
  </si>
  <si>
    <t>Equipamiento e Indumentaria</t>
  </si>
  <si>
    <t>Subtotal deducciones generales</t>
  </si>
  <si>
    <t>Medicina Prepaga (Tope 5% GNSI)</t>
  </si>
  <si>
    <t>Donaciones  (Tope 5% GNSI)</t>
  </si>
  <si>
    <t>Total medicina prepaga y donaciones</t>
  </si>
  <si>
    <t>Deducciones Personales</t>
  </si>
  <si>
    <t>Mínimo no Imponible</t>
  </si>
  <si>
    <t>Cónyuge</t>
  </si>
  <si>
    <t>Hijos</t>
  </si>
  <si>
    <t>Hijos Incapacitados para el trabajo</t>
  </si>
  <si>
    <t xml:space="preserve">Deducción Especial Incrementada </t>
  </si>
  <si>
    <t>Deducción Especial Adicional (DEA) 1° Parte Mensual</t>
  </si>
  <si>
    <t>Deducción Especial Adicional (DEA) 1° Parte Acumulada</t>
  </si>
  <si>
    <t>Deducción Especial Adicional (DEA) 2° Parte Mensual</t>
  </si>
  <si>
    <t>Deducción Especial Adicional (DEA) 2° Parte Acumulada</t>
  </si>
  <si>
    <t>Total deducciones personales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</si>
  <si>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</si>
  <si>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</si>
  <si>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</si>
  <si>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</si>
  <si>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</si>
  <si>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</si>
  <si>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</si>
  <si>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</si>
  <si>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</si>
  <si>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</si>
  <si>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</si>
  <si>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</si>
  <si>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</si>
  <si>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Ganancia Neta Sujeta a Impuesto</t>
  </si>
  <si>
    <t>Retención Acumulada</t>
  </si>
  <si>
    <t xml:space="preserve">Retención Mensual </t>
  </si>
  <si>
    <t>Datos declarados por el trabajador (F572 WEB)</t>
  </si>
  <si>
    <t>Cargas de familia</t>
  </si>
  <si>
    <t>Intereses de préstamos hipotecarios (Valor declarado)</t>
  </si>
  <si>
    <t>Alquiler de la casa habitación</t>
  </si>
  <si>
    <t>Alquiler de la casa habitación 40%</t>
  </si>
  <si>
    <t>Personal de casas particulares  (Valor declarado)</t>
  </si>
  <si>
    <t xml:space="preserve">Viáticos corta y media Distancia  </t>
  </si>
  <si>
    <t>Viáticos corta y media Distancia 40% MNI</t>
  </si>
  <si>
    <t xml:space="preserve">Viáticos larga distancia  </t>
  </si>
  <si>
    <t>Medicina Prepaga</t>
  </si>
  <si>
    <t>Donaciones</t>
  </si>
  <si>
    <t>Gastos Médicos</t>
  </si>
  <si>
    <t>Seguros</t>
  </si>
  <si>
    <t xml:space="preserve">Ganancia Neta antes de prepaga y donaciones  5% </t>
  </si>
  <si>
    <t>Base imponible</t>
  </si>
  <si>
    <t>Tramo sin horas extras</t>
  </si>
  <si>
    <t>Impuesto Determinado</t>
  </si>
  <si>
    <t>Tramos de escala (art. 94)</t>
  </si>
  <si>
    <t>Importes acumulados</t>
  </si>
  <si>
    <t>Mes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</si>
  <si>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</si>
  <si>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</si>
  <si>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</si>
  <si>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</si>
  <si>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</si>
  <si>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</si>
  <si>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</si>
  <si>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</si>
  <si>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Setiembre</t>
  </si>
  <si>
    <t>Sueldo bruto 
mensual o
promedio</t>
  </si>
  <si>
    <t>Deducción</t>
  </si>
  <si>
    <t xml:space="preserve">Otros conceptos no habituales remunerativos  </t>
  </si>
  <si>
    <t>1- Bono Productividad alcanzado por la exención parcial</t>
  </si>
  <si>
    <t>Parte EXENTA</t>
  </si>
  <si>
    <t>Parte GRAVADA</t>
  </si>
  <si>
    <t>2- Bono Productividad gravado en su totalidad</t>
  </si>
  <si>
    <t>Total Bono Productividad GRAVADO</t>
  </si>
  <si>
    <t xml:space="preserve">Total Bono Productividad Agente Retención </t>
  </si>
  <si>
    <t>Total Bono Productividad Pluriempleo</t>
  </si>
  <si>
    <t xml:space="preserve">Total Bono Productividad </t>
  </si>
  <si>
    <t>Proporcionalidad Bono Productividad Agente Retención</t>
  </si>
  <si>
    <t>Proporcionalidad Bono Productividad  Pluriempleo</t>
  </si>
  <si>
    <t>Bono Productividad Gravado Agente de retención</t>
  </si>
  <si>
    <t>Bono Productividad Gravado Pluriempleo</t>
  </si>
  <si>
    <t>Supuesto empleado: siempre el bono de productividad es remunerativo</t>
  </si>
  <si>
    <t>Bono Productividad</t>
  </si>
  <si>
    <t>Ganancia Neta Sujeta a Impuesto (antes DEA del mes)</t>
  </si>
  <si>
    <r>
      <t xml:space="preserve">Retribuciones habituales remunerativas </t>
    </r>
    <r>
      <rPr>
        <sz val="11"/>
        <color theme="1"/>
        <rFont val="Calibri"/>
        <family val="2"/>
        <scheme val="minor"/>
      </rPr>
      <t>sin horas extras</t>
    </r>
  </si>
  <si>
    <t>Deducciones por recibo de haberes:</t>
  </si>
  <si>
    <t xml:space="preserve">Jubilación </t>
  </si>
  <si>
    <t xml:space="preserve">Obra Social </t>
  </si>
  <si>
    <t>Ley 19.032</t>
  </si>
  <si>
    <t>En % (completar)</t>
  </si>
  <si>
    <t>Supuesto: mes devengado = mes cobrado</t>
  </si>
  <si>
    <t>Período Fiscal 2022</t>
  </si>
  <si>
    <t>Ganancia Neta Mensual (antes de m. prepaga y donac.)</t>
  </si>
  <si>
    <t>Ganancia Neta Acumulada (antes de m. prepaga y donac.)</t>
  </si>
  <si>
    <t>Ganancia del mes a considerar</t>
  </si>
  <si>
    <t>Tomar el menor entre 124 Y 125</t>
  </si>
  <si>
    <t xml:space="preserve">Deducciones sobre SAC Proporcional </t>
  </si>
  <si>
    <t>Ajuste Deducciones SAC semestral real</t>
  </si>
  <si>
    <t>Meses en el año en que es carga de familia</t>
  </si>
  <si>
    <t>Hijo 1</t>
  </si>
  <si>
    <t>Hijo 2</t>
  </si>
  <si>
    <t>Hijo 3</t>
  </si>
  <si>
    <t>Hijo 4</t>
  </si>
  <si>
    <t>Hijo 5</t>
  </si>
  <si>
    <t>Hijo 6</t>
  </si>
  <si>
    <t>Hijo incapacitado 1</t>
  </si>
  <si>
    <t>Hijo incapacitado 2</t>
  </si>
  <si>
    <t>Hijo incapacitado 3</t>
  </si>
  <si>
    <t>Cónyuge o conviviente</t>
  </si>
  <si>
    <t>% que computa el/la trabajador/a</t>
  </si>
  <si>
    <t>*</t>
  </si>
  <si>
    <t xml:space="preserve">Promedio de Remuneracion Bruta Mensual </t>
  </si>
  <si>
    <t>Pauta para aplicación de DEA</t>
  </si>
  <si>
    <t>Aplicable desde Enero/2023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</si>
</sst>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E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Protection="1">
      <protection locked="0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" fontId="2" fillId="0" borderId="0" xfId="0" applyNumberFormat="1" applyFont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/>
    <xf numFmtId="4" fontId="2" fillId="0" borderId="0" xfId="0" applyNumberFormat="1" applyFont="1"/>
    <xf numFmtId="0" fontId="2" fillId="4" borderId="0" xfId="0" applyFont="1" applyFill="1"/>
    <xf numFmtId="0" fontId="11" fillId="0" borderId="0" xfId="0" applyFont="1"/>
    <xf numFmtId="0" fontId="5" fillId="3" borderId="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5" fillId="0" borderId="0" xfId="0" applyFont="1"/>
    <xf numFmtId="0" fontId="4" fillId="0" borderId="1" xfId="0" applyFont="1" applyBorder="1" applyAlignment="1">
      <alignment horizontal="left"/>
    </xf>
    <xf numFmtId="0" fontId="5" fillId="6" borderId="1" xfId="0" applyFont="1" applyFill="1" applyBorder="1"/>
    <xf numFmtId="0" fontId="12" fillId="0" borderId="1" xfId="0" applyFont="1" applyBorder="1"/>
    <xf numFmtId="0" fontId="1" fillId="7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8" borderId="1" xfId="0" applyFont="1" applyFill="1" applyBorder="1"/>
    <xf numFmtId="0" fontId="0" fillId="0" borderId="1" xfId="0" applyBorder="1" applyAlignment="1">
      <alignment horizontal="left"/>
    </xf>
    <xf numFmtId="4" fontId="1" fillId="7" borderId="1" xfId="0" applyNumberFormat="1" applyFont="1" applyFill="1" applyBorder="1" applyAlignment="1">
      <alignment horizontal="center"/>
    </xf>
    <xf numFmtId="0" fontId="0" fillId="0" borderId="27" xfId="0" applyBorder="1"/>
    <xf numFmtId="0" fontId="4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0" fontId="0" fillId="10" borderId="27" xfId="0" applyFill="1" applyBorder="1"/>
    <xf numFmtId="4" fontId="0" fillId="10" borderId="1" xfId="0" applyNumberFormat="1" applyFill="1" applyBorder="1"/>
    <xf numFmtId="0" fontId="0" fillId="11" borderId="1" xfId="0" applyFill="1" applyBorder="1"/>
    <xf numFmtId="4" fontId="0" fillId="11" borderId="1" xfId="0" applyNumberForma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 applyProtection="1"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4" fontId="5" fillId="3" borderId="1" xfId="0" applyNumberFormat="1" applyFont="1" applyFill="1" applyBorder="1"/>
    <xf numFmtId="0" fontId="5" fillId="9" borderId="1" xfId="0" applyFont="1" applyFill="1" applyBorder="1"/>
    <xf numFmtId="0" fontId="4" fillId="0" borderId="27" xfId="0" applyFont="1" applyBorder="1"/>
    <xf numFmtId="0" fontId="5" fillId="12" borderId="1" xfId="0" applyFont="1" applyFill="1" applyBorder="1" applyAlignment="1">
      <alignment horizontal="left"/>
    </xf>
    <xf numFmtId="0" fontId="2" fillId="12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4" fontId="5" fillId="13" borderId="1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3" fontId="0" fillId="0" borderId="27" xfId="0" applyNumberFormat="1" applyBorder="1"/>
    <xf numFmtId="0" fontId="10" fillId="3" borderId="28" xfId="0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43" fontId="0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0" fillId="0" borderId="1" xfId="0" applyNumberForma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14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Alignment="1" applyProtection="1">
      <alignment horizontal="right"/>
      <protection hidden="1"/>
    </xf>
    <xf numFmtId="4" fontId="2" fillId="6" borderId="1" xfId="0" applyNumberFormat="1" applyFont="1" applyFill="1" applyBorder="1" applyProtection="1">
      <protection hidden="1"/>
    </xf>
    <xf numFmtId="0" fontId="0" fillId="4" borderId="0" xfId="0" applyFill="1" applyProtection="1">
      <protection hidden="1"/>
    </xf>
    <xf numFmtId="4" fontId="2" fillId="4" borderId="0" xfId="0" applyNumberFormat="1" applyFont="1" applyFill="1" applyProtection="1">
      <protection hidden="1"/>
    </xf>
    <xf numFmtId="4" fontId="1" fillId="8" borderId="1" xfId="0" applyNumberFormat="1" applyFont="1" applyFill="1" applyBorder="1" applyProtection="1">
      <protection hidden="1"/>
    </xf>
    <xf numFmtId="4" fontId="5" fillId="0" borderId="0" xfId="0" applyNumberFormat="1" applyFont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 applyProtection="1">
      <protection hidden="1"/>
    </xf>
    <xf numFmtId="4" fontId="5" fillId="3" borderId="1" xfId="0" applyNumberFormat="1" applyFont="1" applyFill="1" applyBorder="1" applyProtection="1">
      <protection hidden="1"/>
    </xf>
    <xf numFmtId="4" fontId="1" fillId="7" borderId="1" xfId="0" applyNumberFormat="1" applyFon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4" fillId="12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Protection="1">
      <protection hidden="1"/>
    </xf>
    <xf numFmtId="4" fontId="14" fillId="14" borderId="1" xfId="0" applyNumberFormat="1" applyFont="1" applyFill="1" applyBorder="1" applyProtection="1">
      <protection hidden="1"/>
    </xf>
    <xf numFmtId="4" fontId="1" fillId="5" borderId="1" xfId="0" applyNumberFormat="1" applyFont="1" applyFill="1" applyBorder="1" applyProtection="1">
      <protection hidden="1"/>
    </xf>
    <xf numFmtId="4" fontId="2" fillId="12" borderId="1" xfId="0" applyNumberFormat="1" applyFont="1" applyFill="1" applyBorder="1" applyProtection="1">
      <protection hidden="1"/>
    </xf>
    <xf numFmtId="4" fontId="5" fillId="13" borderId="1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4" fontId="1" fillId="2" borderId="24" xfId="0" applyNumberFormat="1" applyFont="1" applyFill="1" applyBorder="1" applyProtection="1">
      <protection hidden="1"/>
    </xf>
    <xf numFmtId="4" fontId="1" fillId="2" borderId="25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14" fillId="0" borderId="1" xfId="0" applyNumberFormat="1" applyFont="1" applyBorder="1" applyProtection="1">
      <protection locked="0"/>
    </xf>
    <xf numFmtId="4" fontId="4" fillId="14" borderId="1" xfId="0" applyNumberFormat="1" applyFont="1" applyFill="1" applyBorder="1" applyProtection="1"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15" fillId="0" borderId="0" xfId="0" applyFont="1"/>
    <xf numFmtId="0" fontId="14" fillId="0" borderId="0" xfId="0" applyFont="1"/>
    <xf numFmtId="0" fontId="0" fillId="14" borderId="1" xfId="0" applyFill="1" applyBorder="1" applyProtection="1">
      <protection locked="0"/>
    </xf>
    <xf numFmtId="4" fontId="0" fillId="0" borderId="1" xfId="0" applyNumberFormat="1" applyBorder="1" applyAlignment="1" applyProtection="1">
      <alignment wrapText="1"/>
      <protection hidden="1"/>
    </xf>
    <xf numFmtId="4" fontId="0" fillId="0" borderId="1" xfId="0" applyNumberFormat="1" applyBorder="1"/>
    <xf numFmtId="0" fontId="5" fillId="0" borderId="1" xfId="0" applyFont="1" applyBorder="1"/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Protection="1">
      <protection hidden="1"/>
    </xf>
    <xf numFmtId="0" fontId="15" fillId="0" borderId="1" xfId="0" applyFont="1" applyBorder="1"/>
    <xf numFmtId="4" fontId="15" fillId="0" borderId="0" xfId="0" applyNumberFormat="1" applyFont="1"/>
    <xf numFmtId="4" fontId="5" fillId="0" borderId="1" xfId="0" applyNumberFormat="1" applyFont="1" applyBorder="1" applyProtection="1"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9" fontId="4" fillId="0" borderId="0" xfId="0" applyNumberFormat="1" applyFont="1" applyProtection="1">
      <protection locked="0"/>
    </xf>
    <xf numFmtId="9" fontId="0" fillId="0" borderId="0" xfId="0" applyNumberFormat="1"/>
    <xf numFmtId="9" fontId="4" fillId="0" borderId="0" xfId="2" applyFont="1" applyAlignment="1" applyProtection="1">
      <protection locked="0"/>
    </xf>
    <xf numFmtId="0" fontId="17" fillId="5" borderId="0" xfId="0" applyFont="1" applyFill="1"/>
    <xf numFmtId="0" fontId="16" fillId="5" borderId="0" xfId="0" applyFont="1" applyFill="1"/>
    <xf numFmtId="0" fontId="1" fillId="5" borderId="0" xfId="0" applyFont="1" applyFill="1" applyAlignment="1">
      <alignment horizontal="center" wrapText="1"/>
    </xf>
    <xf numFmtId="0" fontId="5" fillId="16" borderId="0" xfId="0" applyFont="1" applyFill="1"/>
    <xf numFmtId="3" fontId="4" fillId="16" borderId="0" xfId="0" applyNumberFormat="1" applyFont="1" applyFill="1" applyAlignment="1" applyProtection="1">
      <alignment horizontal="center"/>
      <protection locked="0"/>
    </xf>
    <xf numFmtId="4" fontId="5" fillId="16" borderId="0" xfId="0" applyNumberFormat="1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9" borderId="0" xfId="0" applyFont="1" applyFill="1"/>
    <xf numFmtId="9" fontId="4" fillId="9" borderId="0" xfId="2" applyFont="1" applyFill="1" applyAlignment="1" applyProtection="1">
      <alignment horizontal="center"/>
      <protection locked="0"/>
    </xf>
    <xf numFmtId="3" fontId="4" fillId="9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/>
    <xf numFmtId="4" fontId="0" fillId="2" borderId="0" xfId="0" applyNumberFormat="1" applyFill="1" applyProtection="1">
      <protection hidden="1"/>
    </xf>
    <xf numFmtId="4" fontId="0" fillId="9" borderId="0" xfId="0" applyNumberFormat="1" applyFill="1" applyProtection="1">
      <protection hidden="1"/>
    </xf>
    <xf numFmtId="4" fontId="15" fillId="4" borderId="0" xfId="0" applyNumberFormat="1" applyFont="1" applyFill="1" applyAlignment="1" applyProtection="1">
      <alignment horizontal="center"/>
      <protection hidden="1"/>
    </xf>
    <xf numFmtId="4" fontId="1" fillId="2" borderId="1" xfId="0" applyNumberFormat="1" applyFont="1" applyFill="1" applyBorder="1" applyProtection="1">
      <protection locked="0" hidden="1"/>
    </xf>
    <xf numFmtId="4" fontId="0" fillId="0" borderId="1" xfId="0" applyNumberFormat="1" applyBorder="1" applyProtection="1">
      <protection locked="0" hidden="1"/>
    </xf>
    <xf numFmtId="17" fontId="2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0" fillId="17" borderId="0" xfId="0" applyNumberFormat="1" applyFill="1"/>
    <xf numFmtId="0" fontId="0" fillId="17" borderId="0" xfId="0" applyFill="1"/>
    <xf numFmtId="0" fontId="1" fillId="17" borderId="1" xfId="0" applyFont="1" applyFill="1" applyBorder="1"/>
    <xf numFmtId="4" fontId="1" fillId="17" borderId="1" xfId="0" applyNumberFormat="1" applyFont="1" applyFill="1" applyBorder="1" applyProtection="1">
      <protection hidden="1"/>
    </xf>
    <xf numFmtId="3" fontId="0" fillId="0" borderId="28" xfId="0" applyNumberFormat="1" applyBorder="1"/>
    <xf numFmtId="0" fontId="16" fillId="0" borderId="0" xfId="0" applyFont="1"/>
    <xf numFmtId="3" fontId="16" fillId="0" borderId="28" xfId="0" applyNumberFormat="1" applyFont="1" applyBorder="1"/>
    <xf numFmtId="0" fontId="11" fillId="0" borderId="0" xfId="0" applyFont="1" applyAlignment="1">
      <alignment horizontal="right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9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8E0000"/>
      <color rgb="FFFDBBB9"/>
      <color rgb="FFC42308"/>
      <color rgb="FFD21E10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731520</xdr:colOff>
      <xdr:row>3</xdr:row>
      <xdr:rowOff>53340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3:M94" totalsRowShown="0" headerRowDxfId="15" dataDxfId="14" tableBorderDxfId="13">
  <autoFilter ref="A93:M94" xr:uid="{00000000-0009-0000-0100-000001000000}"/>
  <tableColumns count="13">
    <tableColumn id="1" xr3:uid="{00000000-0010-0000-0000-000001000000}" name="Columna1" dataDxfId="12"/>
    <tableColumn id="2" xr3:uid="{00000000-0010-0000-0000-000002000000}" name="Columna2" dataDxfId="11">
      <calculatedColumnFormula>IF(($B$75-$B$78-$B$89)&gt;0,$B$75-$B$78-$B$89,0)</calculatedColumnFormula>
    </tableColumn>
    <tableColumn id="3" xr3:uid="{00000000-0010-0000-0000-000003000000}" name="Columna3" dataDxfId="10">
      <calculatedColumnFormula>IF(($C$75-$C$78-$C$89)&gt;0,$C$75-$C$78-$C$89,0)</calculatedColumnFormula>
    </tableColumn>
    <tableColumn id="4" xr3:uid="{00000000-0010-0000-0000-000004000000}" name="Columna4" dataDxfId="9">
      <calculatedColumnFormula>IF(($D$75-$D$78-$D$89)&gt;0,$D$75-$D$78-$D$89,0)</calculatedColumnFormula>
    </tableColumn>
    <tableColumn id="5" xr3:uid="{00000000-0010-0000-0000-000005000000}" name="Columna5" dataDxfId="8">
      <calculatedColumnFormula>IF(($E$75-$E$78-$E$89)&gt;0,$E$75-$E$78-$E$89,0)</calculatedColumnFormula>
    </tableColumn>
    <tableColumn id="6" xr3:uid="{00000000-0010-0000-0000-000006000000}" name="Columna6" dataDxfId="7">
      <calculatedColumnFormula>IF(($F$75-$F$78-$F$89)&gt;0,$F$75-$F$78-$F$89,0)</calculatedColumnFormula>
    </tableColumn>
    <tableColumn id="7" xr3:uid="{00000000-0010-0000-0000-000007000000}" name="Columna7" dataDxfId="6">
      <calculatedColumnFormula>IF(($G$75-$G$78-$G$89)&gt;0,$G$75-$G$78-$G$89,0)</calculatedColumnFormula>
    </tableColumn>
    <tableColumn id="8" xr3:uid="{00000000-0010-0000-0000-000008000000}" name="Columna8" dataDxfId="5">
      <calculatedColumnFormula>IF(($H$75-$H$78-$H$89)&gt;0,$H$75-$H$78-$H$89,0)</calculatedColumnFormula>
    </tableColumn>
    <tableColumn id="9" xr3:uid="{00000000-0010-0000-0000-000009000000}" name="Columna9" dataDxfId="4">
      <calculatedColumnFormula>IF(($I$75-$I$78-$I$89)&gt;0,$I$75-$I$78-$I$89,0)</calculatedColumnFormula>
    </tableColumn>
    <tableColumn id="10" xr3:uid="{00000000-0010-0000-0000-00000A000000}" name="Columna10" dataDxfId="3">
      <calculatedColumnFormula>IF(($J$75-$J$78-$J$89)&gt;0,$J$75-$J$78-$J$89,0)</calculatedColumnFormula>
    </tableColumn>
    <tableColumn id="11" xr3:uid="{00000000-0010-0000-0000-00000B000000}" name="Columna11" dataDxfId="2">
      <calculatedColumnFormula>IF(($K$75-$K$78-$K$89)&gt;0,$K$75-$K$78-$K$89,0)</calculatedColumnFormula>
    </tableColumn>
    <tableColumn id="12" xr3:uid="{00000000-0010-0000-0000-00000C000000}" name="Columna12" dataDxfId="1">
      <calculatedColumnFormula>IF(($L$75-$L$78-$L$89)&gt;0,$L$75-$L$78-$L$89,0)</calculatedColumnFormula>
    </tableColumn>
    <tableColumn id="13" xr3:uid="{00000000-0010-0000-0000-00000D000000}" name="Columna13" dataDxfId="0">
      <calculatedColumnFormula>IF(($M$75-$M$78-$M$89)&gt;0,$M$75-$M$78-$M$89,0)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showGridLines="0" tabSelected="1" zoomScaleNormal="100" workbookViewId="0">
      <selection activeCell="B7" sqref="B7"/>
    </sheetView>
  </sheetViews>
  <sheetFormatPr baseColWidth="10" defaultColWidth="11.453125" defaultRowHeight="14.5" x14ac:dyDescent="0.35"/>
  <cols>
    <col min="1" max="1" width="50.453125" customWidth="1"/>
    <col min="2" max="2" width="14" customWidth="1"/>
    <col min="3" max="4" width="12.7265625" customWidth="1"/>
    <col min="5" max="5" width="15" customWidth="1"/>
    <col min="6" max="9" width="12.7265625" customWidth="1"/>
    <col min="10" max="12" width="13" customWidth="1"/>
    <col min="13" max="13" width="14.81640625" customWidth="1"/>
    <col min="15" max="15" width="27" bestFit="1" customWidth="1"/>
  </cols>
  <sheetData>
    <row r="1" spans="1:19" x14ac:dyDescent="0.35">
      <c r="E1" s="38"/>
      <c r="F1" s="38"/>
      <c r="G1" s="38"/>
      <c r="H1" s="38"/>
      <c r="I1" s="129"/>
    </row>
    <row r="2" spans="1:19" x14ac:dyDescent="0.35">
      <c r="E2" s="38"/>
      <c r="F2" s="38"/>
      <c r="G2" s="38"/>
      <c r="H2" s="38"/>
      <c r="I2" s="130"/>
    </row>
    <row r="3" spans="1:19" x14ac:dyDescent="0.35">
      <c r="E3" s="38"/>
      <c r="F3" s="38"/>
      <c r="G3" s="38"/>
      <c r="H3" s="38"/>
      <c r="I3" s="130"/>
    </row>
    <row r="4" spans="1:19" ht="15.5" x14ac:dyDescent="0.35">
      <c r="A4" s="14" t="s">
        <v>0</v>
      </c>
      <c r="E4" s="3"/>
      <c r="K4" s="138" t="s">
        <v>140</v>
      </c>
      <c r="L4" s="138"/>
      <c r="M4" s="138"/>
    </row>
    <row r="5" spans="1:19" x14ac:dyDescent="0.35">
      <c r="A5" s="3"/>
      <c r="B5" s="3" t="s">
        <v>139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4"/>
      <c r="Q5" s="4"/>
      <c r="R5" s="4"/>
      <c r="S5" s="4"/>
    </row>
    <row r="6" spans="1:19" s="7" customFormat="1" x14ac:dyDescent="0.35">
      <c r="A6" s="37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5"/>
      <c r="O6" s="6"/>
      <c r="P6" s="5"/>
      <c r="Q6" s="5"/>
      <c r="R6" s="5"/>
      <c r="S6" s="5"/>
    </row>
    <row r="7" spans="1:19" s="7" customFormat="1" ht="15.75" customHeight="1" x14ac:dyDescent="0.35">
      <c r="A7" s="8" t="s">
        <v>14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5"/>
      <c r="P7" s="5"/>
      <c r="Q7" s="5"/>
      <c r="R7" s="5"/>
      <c r="S7" s="5"/>
    </row>
    <row r="8" spans="1:19" s="7" customFormat="1" x14ac:dyDescent="0.35">
      <c r="A8" s="8" t="s">
        <v>15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5"/>
      <c r="P8" s="5"/>
      <c r="Q8" s="5"/>
      <c r="R8" s="5"/>
      <c r="S8" s="5"/>
    </row>
    <row r="9" spans="1:19" s="7" customFormat="1" x14ac:dyDescent="0.35">
      <c r="A9" s="8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5"/>
      <c r="P9" s="5"/>
      <c r="Q9" s="5"/>
      <c r="R9" s="5"/>
      <c r="S9" s="5"/>
    </row>
    <row r="10" spans="1:19" s="7" customFormat="1" ht="15" customHeight="1" x14ac:dyDescent="0.35">
      <c r="A10" s="41" t="s">
        <v>17</v>
      </c>
      <c r="B10" s="87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5"/>
      <c r="P10" s="5"/>
      <c r="Q10" s="5"/>
      <c r="R10" s="5"/>
      <c r="S10" s="5"/>
    </row>
    <row r="11" spans="1:19" s="7" customFormat="1" x14ac:dyDescent="0.35">
      <c r="A11" s="8" t="s">
        <v>18</v>
      </c>
      <c r="B11" s="88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5"/>
      <c r="P11" s="5"/>
      <c r="Q11" s="5"/>
      <c r="R11" s="5"/>
      <c r="S11" s="5"/>
    </row>
    <row r="12" spans="1:19" s="7" customFormat="1" x14ac:dyDescent="0.35">
      <c r="A12" s="27" t="s">
        <v>19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5"/>
      <c r="P12" s="5"/>
      <c r="Q12" s="5"/>
      <c r="R12" s="5"/>
      <c r="S12" s="5"/>
    </row>
    <row r="13" spans="1:19" s="7" customFormat="1" x14ac:dyDescent="0.35">
      <c r="A13" s="20" t="s">
        <v>131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5"/>
      <c r="P13" s="5"/>
      <c r="Q13" s="5"/>
      <c r="R13" s="5"/>
      <c r="S13" s="5"/>
    </row>
    <row r="14" spans="1:19" s="7" customFormat="1" x14ac:dyDescent="0.35">
      <c r="A14" s="27" t="s">
        <v>117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5"/>
      <c r="P14" s="5"/>
      <c r="Q14" s="5"/>
      <c r="R14" s="5"/>
      <c r="S14" s="5"/>
    </row>
    <row r="15" spans="1:19" s="7" customFormat="1" x14ac:dyDescent="0.35">
      <c r="A15" s="27" t="s">
        <v>20</v>
      </c>
      <c r="B15" s="89"/>
      <c r="C15" s="89"/>
      <c r="D15" s="89"/>
      <c r="E15" s="89"/>
      <c r="F15" s="89"/>
      <c r="G15" s="87">
        <f>+G7/2</f>
        <v>0</v>
      </c>
      <c r="H15" s="89"/>
      <c r="I15" s="89"/>
      <c r="J15" s="89"/>
      <c r="K15" s="89"/>
      <c r="L15" s="89"/>
      <c r="M15" s="87">
        <f>+M7/2</f>
        <v>0</v>
      </c>
      <c r="N15" s="5"/>
      <c r="O15" s="9"/>
      <c r="P15" s="5"/>
      <c r="Q15" s="5"/>
      <c r="R15" s="5"/>
      <c r="S15" s="5"/>
    </row>
    <row r="16" spans="1:19" s="7" customFormat="1" x14ac:dyDescent="0.35">
      <c r="A16" s="10" t="s">
        <v>21</v>
      </c>
      <c r="B16" s="64">
        <f>SUM(B7:B15)</f>
        <v>0</v>
      </c>
      <c r="C16" s="64">
        <f t="shared" ref="C16:M16" si="0">SUM(C7:C15)</f>
        <v>0</v>
      </c>
      <c r="D16" s="64">
        <f t="shared" si="0"/>
        <v>0</v>
      </c>
      <c r="E16" s="64">
        <f t="shared" si="0"/>
        <v>0</v>
      </c>
      <c r="F16" s="64">
        <f t="shared" si="0"/>
        <v>0</v>
      </c>
      <c r="G16" s="64">
        <f t="shared" si="0"/>
        <v>0</v>
      </c>
      <c r="H16" s="64">
        <f t="shared" si="0"/>
        <v>0</v>
      </c>
      <c r="I16" s="64">
        <f t="shared" si="0"/>
        <v>0</v>
      </c>
      <c r="J16" s="64">
        <f t="shared" si="0"/>
        <v>0</v>
      </c>
      <c r="K16" s="64">
        <f t="shared" si="0"/>
        <v>0</v>
      </c>
      <c r="L16" s="64">
        <f t="shared" si="0"/>
        <v>0</v>
      </c>
      <c r="M16" s="64">
        <f t="shared" si="0"/>
        <v>0</v>
      </c>
      <c r="N16" s="5"/>
      <c r="P16" s="5"/>
      <c r="Q16" s="5"/>
      <c r="R16" s="5"/>
      <c r="S16" s="5"/>
    </row>
    <row r="17" spans="1:20" s="7" customFormat="1" x14ac:dyDescent="0.35">
      <c r="A17" s="20" t="s">
        <v>22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5"/>
      <c r="P17" s="5"/>
      <c r="Q17" s="5"/>
      <c r="R17" s="5"/>
      <c r="S17" s="5"/>
    </row>
    <row r="18" spans="1:20" s="7" customFormat="1" x14ac:dyDescent="0.35">
      <c r="A18" s="20" t="s">
        <v>23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5"/>
      <c r="P18" s="5"/>
      <c r="Q18" s="5"/>
      <c r="R18" s="5"/>
      <c r="S18" s="5"/>
    </row>
    <row r="19" spans="1:20" s="7" customFormat="1" x14ac:dyDescent="0.35">
      <c r="A19" s="11" t="s">
        <v>24</v>
      </c>
      <c r="B19" s="65">
        <f>SUM(B17:B18)</f>
        <v>0</v>
      </c>
      <c r="C19" s="65">
        <f t="shared" ref="C19:M19" si="1">SUM(C17:C18)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5"/>
      <c r="P19" s="5"/>
      <c r="Q19" s="5"/>
      <c r="R19" s="5"/>
      <c r="S19" s="5"/>
    </row>
    <row r="20" spans="1:20" x14ac:dyDescent="0.35">
      <c r="A20" s="8" t="s">
        <v>25</v>
      </c>
      <c r="B20" s="128">
        <f>IF($B$16&gt;548651.9,(548651.9*$C$158),$B$16*+$C$158)</f>
        <v>0</v>
      </c>
      <c r="C20" s="128">
        <f>IF($C$16&gt;548651.9,(548651.9*$C$158),$C$16*$C$158)</f>
        <v>0</v>
      </c>
      <c r="D20" s="128">
        <f>IF($D$16&gt;548651.9,(548651.9*$C$158),$D$16*$C$158)</f>
        <v>0</v>
      </c>
      <c r="E20" s="128">
        <f>IF($E$16&gt;548651.9,(548651.9*$C$158),$E$16*$C$158)</f>
        <v>0</v>
      </c>
      <c r="F20" s="128">
        <f>IF($F$16&gt;548651.9,(548651.9*$C$158),$F$16*$C$158)</f>
        <v>0</v>
      </c>
      <c r="G20" s="128">
        <f>IF($G$16&gt;822977.85,(822977.85*$C$158),$G$16*$C$158)</f>
        <v>0</v>
      </c>
      <c r="H20" s="128">
        <f>IF($H$16&gt;548651.9,(548651.9*$C$158),$H$16*$C$158)</f>
        <v>0</v>
      </c>
      <c r="I20" s="128">
        <f>IF($I$16&gt;548651.9,(548651.9*$C$158),$I$16*$C$158)</f>
        <v>0</v>
      </c>
      <c r="J20" s="128">
        <f>IF($J$16&gt;548651.9,(548651.9*$C$158),$J$16*$C$158)</f>
        <v>0</v>
      </c>
      <c r="K20" s="128">
        <f>IF($K$16&gt;548651.9,(548651.9*$C$158),$K$16*$C$158)</f>
        <v>0</v>
      </c>
      <c r="L20" s="128">
        <f>IF($L$16&gt;548651.9,(548651.9*$C$158),$L$16*$C$158)</f>
        <v>0</v>
      </c>
      <c r="M20" s="128">
        <f>IF($M$16&gt;822977.85,(822977.85*$C$158),$M$16*$C$158)</f>
        <v>0</v>
      </c>
      <c r="N20" s="4"/>
      <c r="O20" s="4"/>
      <c r="P20" s="4"/>
      <c r="Q20" s="4"/>
      <c r="R20" s="4"/>
      <c r="S20" s="4"/>
    </row>
    <row r="21" spans="1:20" x14ac:dyDescent="0.35">
      <c r="A21" s="8" t="s">
        <v>26</v>
      </c>
      <c r="B21" s="128">
        <f>IF($B$16&gt;548651.9,(548651.9*$C$159),$B$16*$C$159)</f>
        <v>0</v>
      </c>
      <c r="C21" s="128">
        <f>IF($C$16&gt;548651.9,(548651.9*$C$159),$C$16*$C$159)</f>
        <v>0</v>
      </c>
      <c r="D21" s="128">
        <f>IF($D$16&gt;548651.9,(548651.9*$C$159),$D$16*$C$159)</f>
        <v>0</v>
      </c>
      <c r="E21" s="128">
        <f>IF($E$16&gt;548651.9,(548651.9*$C$159),$E$16*$C$159)</f>
        <v>0</v>
      </c>
      <c r="F21" s="128">
        <f>IF($F$16&gt;548651.9,(548651.9*$C$159),$F$16*$C$159)</f>
        <v>0</v>
      </c>
      <c r="G21" s="128">
        <f>IF($G$16&gt;822977.85,(822977.85*$C$159),$G$16*$C$159)</f>
        <v>0</v>
      </c>
      <c r="H21" s="128">
        <f>IF($H$16&gt;548651.9,(548651.9*$C$159),$H$16*$C$159)</f>
        <v>0</v>
      </c>
      <c r="I21" s="128">
        <f>IF($I$16&gt;548651.9,(548651.9*$C$159),$I$16*$C$159)</f>
        <v>0</v>
      </c>
      <c r="J21" s="128">
        <f>IF($J$16&gt;548651.9,(548651.9*$C$159),$J$16*$C$159)</f>
        <v>0</v>
      </c>
      <c r="K21" s="128">
        <f>IF($K$16&gt;548651.9,(548651.9*$C$159),$K$16*$C$159)</f>
        <v>0</v>
      </c>
      <c r="L21" s="128">
        <f>IF($L$16&gt;548651.9,(548651.9*$C$159),$L$16*$C$159)</f>
        <v>0</v>
      </c>
      <c r="M21" s="128">
        <f>IF($M$16&gt;822977.85,(822977.85*$C$159),$M$16*$C$159)</f>
        <v>0</v>
      </c>
      <c r="N21" s="4"/>
      <c r="O21" s="4"/>
      <c r="P21" s="4"/>
      <c r="Q21" s="4"/>
      <c r="R21" s="4"/>
      <c r="S21" s="4"/>
    </row>
    <row r="22" spans="1:20" x14ac:dyDescent="0.35">
      <c r="A22" s="8" t="s">
        <v>27</v>
      </c>
      <c r="B22" s="128">
        <f>IF($B$16&gt;548651.9,(548651.9*$C$160),$B$16*$C$160)</f>
        <v>0</v>
      </c>
      <c r="C22" s="128">
        <f>IF($C$16&gt;548651.9,(548651.9*$C$160),$C$16*$C$160)</f>
        <v>0</v>
      </c>
      <c r="D22" s="128">
        <f>IF($D$16&gt;548651.9,(548651.9*$C$160),$D$16*$C$160)</f>
        <v>0</v>
      </c>
      <c r="E22" s="128">
        <f>IF($E$16&gt;548651.9,(548651.9*$C$160),$E$16*$C$160)</f>
        <v>0</v>
      </c>
      <c r="F22" s="128">
        <f>IF($F$16&gt;548651.9,(548651.9*$C$160),$F$16*$C$160)</f>
        <v>0</v>
      </c>
      <c r="G22" s="128">
        <f>IF($G$16&gt;822977.85,(822977.85*$C$160),$G$16*$C$160)</f>
        <v>0</v>
      </c>
      <c r="H22" s="128">
        <f>IF($H$16&gt;548651.9,(548651.9*$C$160),$H$16*$C$160)</f>
        <v>0</v>
      </c>
      <c r="I22" s="128">
        <f>IF($I$16&gt;548651.9,(548651.9*$C$160),$I$16*$C$160)</f>
        <v>0</v>
      </c>
      <c r="J22" s="128">
        <f>IF($J$16&gt;548651.9,(548651.9*$C$160),$J$16*$C$160)</f>
        <v>0</v>
      </c>
      <c r="K22" s="128">
        <f>IF($K$16&gt;548651.9,(548651.9*$C$160),$K$16*$C$160)</f>
        <v>0</v>
      </c>
      <c r="L22" s="128">
        <f>IF($L$16&gt;548651.9,(548651.9*$C$160),$L$16*$C$160)</f>
        <v>0</v>
      </c>
      <c r="M22" s="128">
        <f>IF($M$16&gt;822977.85,(822977.85*$C$160),$M$16*$C$160)</f>
        <v>0</v>
      </c>
      <c r="N22" s="4"/>
      <c r="O22" s="4"/>
      <c r="P22" s="4"/>
      <c r="Q22" s="4"/>
      <c r="R22" s="4"/>
      <c r="S22" s="4"/>
    </row>
    <row r="23" spans="1:20" x14ac:dyDescent="0.35">
      <c r="A23" s="8" t="s">
        <v>28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4"/>
      <c r="O23" s="4"/>
      <c r="P23" s="4"/>
      <c r="Q23" s="4"/>
      <c r="R23" s="4"/>
      <c r="S23" s="4"/>
    </row>
    <row r="24" spans="1:20" x14ac:dyDescent="0.35">
      <c r="A24" s="11" t="s">
        <v>29</v>
      </c>
      <c r="B24" s="65">
        <f>SUM(B20:B23)</f>
        <v>0</v>
      </c>
      <c r="C24" s="65">
        <f t="shared" ref="C24:M24" si="2">SUM(C20:C23)</f>
        <v>0</v>
      </c>
      <c r="D24" s="65">
        <f t="shared" si="2"/>
        <v>0</v>
      </c>
      <c r="E24" s="65">
        <f t="shared" si="2"/>
        <v>0</v>
      </c>
      <c r="F24" s="65">
        <f t="shared" si="2"/>
        <v>0</v>
      </c>
      <c r="G24" s="65">
        <f t="shared" si="2"/>
        <v>0</v>
      </c>
      <c r="H24" s="65">
        <f t="shared" si="2"/>
        <v>0</v>
      </c>
      <c r="I24" s="65">
        <f t="shared" si="2"/>
        <v>0</v>
      </c>
      <c r="J24" s="65">
        <f t="shared" si="2"/>
        <v>0</v>
      </c>
      <c r="K24" s="65">
        <f t="shared" si="2"/>
        <v>0</v>
      </c>
      <c r="L24" s="65">
        <f t="shared" si="2"/>
        <v>0</v>
      </c>
      <c r="M24" s="65">
        <f t="shared" si="2"/>
        <v>0</v>
      </c>
      <c r="N24" s="4"/>
      <c r="O24" s="4"/>
      <c r="P24" s="4"/>
      <c r="Q24" s="4"/>
      <c r="R24" s="4"/>
      <c r="S24" s="4"/>
    </row>
    <row r="25" spans="1:20" x14ac:dyDescent="0.35">
      <c r="A25" s="13"/>
      <c r="B25" s="66"/>
      <c r="C25" s="67"/>
      <c r="D25" s="67"/>
      <c r="E25" s="67"/>
      <c r="F25" s="67"/>
      <c r="G25" s="126"/>
      <c r="H25" s="67"/>
      <c r="I25" s="67"/>
      <c r="J25" s="67"/>
      <c r="K25" s="67"/>
      <c r="L25" s="67"/>
      <c r="M25" s="67"/>
      <c r="N25" s="4"/>
      <c r="O25" s="4"/>
      <c r="P25" s="4"/>
      <c r="Q25" s="4"/>
      <c r="R25" s="4"/>
      <c r="S25" s="4"/>
    </row>
    <row r="26" spans="1:20" x14ac:dyDescent="0.35">
      <c r="A26" s="26" t="s">
        <v>30</v>
      </c>
      <c r="B26" s="68">
        <f>B16+B19-B24</f>
        <v>0</v>
      </c>
      <c r="C26" s="68">
        <f t="shared" ref="C26:M26" si="3">C16+C19-C24</f>
        <v>0</v>
      </c>
      <c r="D26" s="68">
        <f t="shared" si="3"/>
        <v>0</v>
      </c>
      <c r="E26" s="68">
        <f t="shared" si="3"/>
        <v>0</v>
      </c>
      <c r="F26" s="68">
        <f t="shared" si="3"/>
        <v>0</v>
      </c>
      <c r="G26" s="68">
        <f t="shared" si="3"/>
        <v>0</v>
      </c>
      <c r="H26" s="68">
        <f t="shared" si="3"/>
        <v>0</v>
      </c>
      <c r="I26" s="68">
        <f t="shared" si="3"/>
        <v>0</v>
      </c>
      <c r="J26" s="68">
        <f t="shared" si="3"/>
        <v>0</v>
      </c>
      <c r="K26" s="68">
        <f t="shared" si="3"/>
        <v>0</v>
      </c>
      <c r="L26" s="68">
        <f t="shared" si="3"/>
        <v>0</v>
      </c>
      <c r="M26" s="68">
        <f t="shared" si="3"/>
        <v>0</v>
      </c>
      <c r="N26" s="4"/>
      <c r="O26" s="4"/>
      <c r="P26" s="4"/>
      <c r="Q26" s="4"/>
      <c r="R26" s="4"/>
      <c r="S26" s="4"/>
    </row>
    <row r="27" spans="1:20" x14ac:dyDescent="0.35">
      <c r="A27" s="1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4"/>
      <c r="O27" s="4"/>
      <c r="P27" s="4"/>
      <c r="Q27" s="4"/>
      <c r="R27" s="4"/>
      <c r="S27" s="4"/>
    </row>
    <row r="28" spans="1:20" ht="15.5" x14ac:dyDescent="0.35">
      <c r="A28" s="14" t="s">
        <v>31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4"/>
      <c r="O28" s="4"/>
      <c r="P28" s="4"/>
      <c r="Q28" s="4"/>
      <c r="R28" s="4"/>
      <c r="S28" s="4"/>
    </row>
    <row r="29" spans="1:20" ht="15.5" x14ac:dyDescent="0.35">
      <c r="A29" s="14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32"/>
      <c r="O29" s="4"/>
      <c r="P29" s="4"/>
      <c r="Q29" s="4"/>
      <c r="R29" s="4"/>
      <c r="S29" s="4"/>
    </row>
    <row r="30" spans="1:20" x14ac:dyDescent="0.35">
      <c r="A30" s="24" t="s">
        <v>32</v>
      </c>
      <c r="B30" s="70" t="s">
        <v>2</v>
      </c>
      <c r="C30" s="70" t="s">
        <v>3</v>
      </c>
      <c r="D30" s="70" t="s">
        <v>4</v>
      </c>
      <c r="E30" s="70" t="s">
        <v>5</v>
      </c>
      <c r="F30" s="70" t="s">
        <v>6</v>
      </c>
      <c r="G30" s="70" t="s">
        <v>7</v>
      </c>
      <c r="H30" s="70" t="s">
        <v>8</v>
      </c>
      <c r="I30" s="70" t="s">
        <v>9</v>
      </c>
      <c r="J30" s="70" t="s">
        <v>10</v>
      </c>
      <c r="K30" s="70" t="s">
        <v>11</v>
      </c>
      <c r="L30" s="70" t="s">
        <v>12</v>
      </c>
      <c r="M30" s="70" t="s">
        <v>13</v>
      </c>
      <c r="N30" s="32"/>
      <c r="O30" s="4"/>
      <c r="P30" s="4"/>
      <c r="Q30" s="4"/>
      <c r="R30" s="4"/>
      <c r="S30" s="4"/>
    </row>
    <row r="31" spans="1:20" x14ac:dyDescent="0.35">
      <c r="A31" s="8" t="s">
        <v>133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4"/>
      <c r="O31" s="4"/>
      <c r="P31" s="4"/>
      <c r="Q31" s="4"/>
      <c r="R31" s="4"/>
      <c r="S31" s="4"/>
      <c r="T31" s="4"/>
    </row>
    <row r="32" spans="1:20" x14ac:dyDescent="0.35">
      <c r="A32" s="8" t="s">
        <v>16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4"/>
      <c r="O32" s="4"/>
      <c r="P32" s="4"/>
      <c r="Q32" s="4"/>
      <c r="R32" s="4"/>
      <c r="S32" s="4"/>
      <c r="T32" s="4"/>
    </row>
    <row r="33" spans="1:20" x14ac:dyDescent="0.35">
      <c r="A33" s="42" t="s">
        <v>33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32"/>
      <c r="O33" s="4"/>
      <c r="P33" s="4"/>
      <c r="Q33" s="4"/>
      <c r="R33" s="4"/>
      <c r="S33" s="4"/>
      <c r="T33" s="4"/>
    </row>
    <row r="34" spans="1:20" x14ac:dyDescent="0.35">
      <c r="A34" s="20" t="s">
        <v>131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32"/>
      <c r="O34" s="4"/>
      <c r="P34" s="4"/>
      <c r="Q34" s="4"/>
      <c r="R34" s="4"/>
      <c r="S34" s="4"/>
      <c r="T34" s="4"/>
    </row>
    <row r="35" spans="1:20" x14ac:dyDescent="0.35">
      <c r="A35" s="42" t="s">
        <v>34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32"/>
      <c r="O35" s="4"/>
      <c r="P35" s="4"/>
      <c r="Q35" s="4"/>
      <c r="R35" s="4"/>
      <c r="S35" s="4"/>
      <c r="T35" s="4"/>
    </row>
    <row r="36" spans="1:20" x14ac:dyDescent="0.35">
      <c r="A36" s="8" t="s">
        <v>35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4"/>
      <c r="O36" s="4"/>
      <c r="P36" s="4"/>
      <c r="Q36" s="4"/>
      <c r="R36" s="4"/>
      <c r="S36" s="4"/>
    </row>
    <row r="37" spans="1:20" x14ac:dyDescent="0.35">
      <c r="A37" s="8" t="s">
        <v>36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4"/>
      <c r="O37" s="4"/>
      <c r="P37" s="4"/>
      <c r="Q37" s="4"/>
      <c r="R37" s="4"/>
      <c r="S37" s="4"/>
    </row>
    <row r="38" spans="1:20" ht="15.5" x14ac:dyDescent="0.35">
      <c r="A38" s="22" t="s">
        <v>20</v>
      </c>
      <c r="B38" s="98"/>
      <c r="C38" s="89"/>
      <c r="D38" s="89"/>
      <c r="E38" s="89"/>
      <c r="F38" s="89"/>
      <c r="G38" s="87"/>
      <c r="H38" s="89"/>
      <c r="I38" s="89"/>
      <c r="J38" s="89"/>
      <c r="K38" s="89"/>
      <c r="L38" s="89"/>
      <c r="M38" s="87"/>
      <c r="N38" s="4"/>
      <c r="O38" s="4"/>
      <c r="P38" s="4"/>
      <c r="Q38" s="4"/>
      <c r="R38" s="4"/>
      <c r="S38" s="4"/>
    </row>
    <row r="39" spans="1:20" ht="15.5" x14ac:dyDescent="0.35">
      <c r="A39" s="22" t="s">
        <v>37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4"/>
      <c r="O39" s="4"/>
      <c r="P39" s="4"/>
      <c r="Q39" s="4"/>
      <c r="R39" s="4"/>
      <c r="S39" s="4"/>
    </row>
    <row r="40" spans="1:20" x14ac:dyDescent="0.35">
      <c r="A40" s="3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4"/>
      <c r="O40" s="4"/>
      <c r="P40" s="4"/>
      <c r="Q40" s="4"/>
      <c r="R40" s="4"/>
      <c r="S40" s="4"/>
    </row>
    <row r="41" spans="1:20" x14ac:dyDescent="0.35">
      <c r="A41" s="15" t="s">
        <v>38</v>
      </c>
      <c r="B41" s="72">
        <f>B16+B19+B31+B33+B35+B36+B37-B15+B34+B32</f>
        <v>0</v>
      </c>
      <c r="C41" s="72">
        <f>C16+C19+C31+C33+C35+C36+C37-C15+C34+C32</f>
        <v>0</v>
      </c>
      <c r="D41" s="72">
        <f t="shared" ref="D41:M41" si="4">D16+D19+D31+D33+D35+D36+D37-D15+D34+D32</f>
        <v>0</v>
      </c>
      <c r="E41" s="72">
        <f t="shared" si="4"/>
        <v>0</v>
      </c>
      <c r="F41" s="72">
        <f t="shared" si="4"/>
        <v>0</v>
      </c>
      <c r="G41" s="72">
        <f t="shared" si="4"/>
        <v>0</v>
      </c>
      <c r="H41" s="72">
        <f t="shared" si="4"/>
        <v>0</v>
      </c>
      <c r="I41" s="72">
        <f t="shared" si="4"/>
        <v>0</v>
      </c>
      <c r="J41" s="72">
        <f t="shared" si="4"/>
        <v>0</v>
      </c>
      <c r="K41" s="72">
        <f t="shared" si="4"/>
        <v>0</v>
      </c>
      <c r="L41" s="72">
        <f t="shared" si="4"/>
        <v>0</v>
      </c>
      <c r="M41" s="72">
        <f t="shared" si="4"/>
        <v>0</v>
      </c>
      <c r="N41" s="4"/>
      <c r="O41" s="4"/>
      <c r="P41" s="4"/>
      <c r="Q41" s="4"/>
      <c r="R41" s="4"/>
      <c r="S41" s="4"/>
    </row>
    <row r="42" spans="1:20" x14ac:dyDescent="0.35">
      <c r="A42" s="26" t="s">
        <v>160</v>
      </c>
      <c r="B42" s="68">
        <f>AVERAGE($B$41)</f>
        <v>0</v>
      </c>
      <c r="C42" s="68">
        <f>AVERAGE($B$41:$C$41)</f>
        <v>0</v>
      </c>
      <c r="D42" s="68">
        <f>AVERAGE($B$41:$D$41)</f>
        <v>0</v>
      </c>
      <c r="E42" s="68">
        <f>AVERAGE($B$41:$E$41)</f>
        <v>0</v>
      </c>
      <c r="F42" s="68">
        <f>AVERAGE($B$41:$F$41)</f>
        <v>0</v>
      </c>
      <c r="G42" s="68">
        <f>AVERAGE($B$41:$G$41)</f>
        <v>0</v>
      </c>
      <c r="H42" s="68">
        <f>AVERAGE($B$41:$H$41)</f>
        <v>0</v>
      </c>
      <c r="I42" s="68">
        <f>AVERAGE($B$41:$I$41)</f>
        <v>0</v>
      </c>
      <c r="J42" s="68">
        <f>AVERAGE($B$41:$J$41)</f>
        <v>0</v>
      </c>
      <c r="K42" s="68">
        <f>AVERAGE($B$41:$K$41)</f>
        <v>0</v>
      </c>
      <c r="L42" s="68">
        <f>AVERAGE($B$41:$L$41)</f>
        <v>0</v>
      </c>
      <c r="M42" s="68">
        <f>AVERAGE($B$41:$M$41)</f>
        <v>0</v>
      </c>
      <c r="N42" s="4"/>
      <c r="O42" s="4"/>
      <c r="P42" s="4"/>
      <c r="Q42" s="4"/>
      <c r="R42" s="4"/>
      <c r="S42" s="4"/>
    </row>
    <row r="43" spans="1:20" s="132" customFormat="1" hidden="1" x14ac:dyDescent="0.3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1"/>
      <c r="O43" s="131"/>
      <c r="P43" s="131"/>
      <c r="Q43" s="131"/>
      <c r="R43" s="131"/>
      <c r="S43" s="131"/>
    </row>
    <row r="44" spans="1:20" x14ac:dyDescent="0.35">
      <c r="A44" s="23" t="s">
        <v>161</v>
      </c>
      <c r="B44" s="73">
        <f t="shared" ref="B44:M44" si="5">MIN(B41,B42)</f>
        <v>0</v>
      </c>
      <c r="C44" s="73">
        <f t="shared" si="5"/>
        <v>0</v>
      </c>
      <c r="D44" s="73">
        <f t="shared" si="5"/>
        <v>0</v>
      </c>
      <c r="E44" s="73">
        <f t="shared" si="5"/>
        <v>0</v>
      </c>
      <c r="F44" s="73">
        <f t="shared" si="5"/>
        <v>0</v>
      </c>
      <c r="G44" s="73">
        <f t="shared" si="5"/>
        <v>0</v>
      </c>
      <c r="H44" s="73">
        <f t="shared" si="5"/>
        <v>0</v>
      </c>
      <c r="I44" s="73">
        <f t="shared" si="5"/>
        <v>0</v>
      </c>
      <c r="J44" s="73">
        <f t="shared" si="5"/>
        <v>0</v>
      </c>
      <c r="K44" s="73">
        <f t="shared" si="5"/>
        <v>0</v>
      </c>
      <c r="L44" s="73">
        <f t="shared" si="5"/>
        <v>0</v>
      </c>
      <c r="M44" s="73">
        <f t="shared" si="5"/>
        <v>0</v>
      </c>
      <c r="N44" s="4"/>
      <c r="O44" s="4"/>
      <c r="P44" s="4"/>
      <c r="Q44" s="4"/>
      <c r="R44" s="4"/>
      <c r="S44" s="4"/>
    </row>
    <row r="45" spans="1:20" s="7" customFormat="1" ht="18.75" customHeight="1" x14ac:dyDescent="0.35">
      <c r="A45" s="51" t="s">
        <v>39</v>
      </c>
      <c r="B45" s="70" t="s">
        <v>2</v>
      </c>
      <c r="C45" s="70" t="s">
        <v>3</v>
      </c>
      <c r="D45" s="70" t="s">
        <v>4</v>
      </c>
      <c r="E45" s="70" t="s">
        <v>5</v>
      </c>
      <c r="F45" s="70" t="s">
        <v>6</v>
      </c>
      <c r="G45" s="70" t="s">
        <v>7</v>
      </c>
      <c r="H45" s="70" t="s">
        <v>8</v>
      </c>
      <c r="I45" s="70" t="s">
        <v>9</v>
      </c>
      <c r="J45" s="70" t="s">
        <v>10</v>
      </c>
      <c r="K45" s="70" t="s">
        <v>11</v>
      </c>
      <c r="L45" s="70" t="s">
        <v>12</v>
      </c>
      <c r="M45" s="70" t="s">
        <v>13</v>
      </c>
      <c r="N45" s="5"/>
      <c r="O45" s="6"/>
      <c r="P45" s="5"/>
      <c r="Q45" s="5"/>
      <c r="R45" s="5"/>
      <c r="S45" s="5"/>
    </row>
    <row r="46" spans="1:20" x14ac:dyDescent="0.35">
      <c r="A46" s="47" t="s">
        <v>40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4"/>
      <c r="O46" s="7"/>
      <c r="P46" s="12"/>
      <c r="Q46" s="4"/>
      <c r="R46" s="4"/>
      <c r="S46" s="4"/>
    </row>
    <row r="47" spans="1:20" x14ac:dyDescent="0.35">
      <c r="A47" s="8" t="s">
        <v>41</v>
      </c>
      <c r="B47" s="61">
        <f t="shared" ref="B47:M47" si="6">B7+B8+B9+B11+B12</f>
        <v>0</v>
      </c>
      <c r="C47" s="61">
        <f t="shared" si="6"/>
        <v>0</v>
      </c>
      <c r="D47" s="61">
        <f t="shared" si="6"/>
        <v>0</v>
      </c>
      <c r="E47" s="61">
        <f t="shared" si="6"/>
        <v>0</v>
      </c>
      <c r="F47" s="61">
        <f t="shared" si="6"/>
        <v>0</v>
      </c>
      <c r="G47" s="61">
        <f t="shared" si="6"/>
        <v>0</v>
      </c>
      <c r="H47" s="61">
        <f t="shared" si="6"/>
        <v>0</v>
      </c>
      <c r="I47" s="61">
        <f t="shared" si="6"/>
        <v>0</v>
      </c>
      <c r="J47" s="61">
        <f t="shared" si="6"/>
        <v>0</v>
      </c>
      <c r="K47" s="61">
        <f t="shared" si="6"/>
        <v>0</v>
      </c>
      <c r="L47" s="61">
        <f t="shared" si="6"/>
        <v>0</v>
      </c>
      <c r="M47" s="61">
        <f t="shared" si="6"/>
        <v>0</v>
      </c>
      <c r="N47" s="4"/>
      <c r="O47" s="7"/>
      <c r="P47" s="12"/>
      <c r="Q47" s="4"/>
      <c r="R47" s="4"/>
      <c r="S47" s="4"/>
    </row>
    <row r="48" spans="1:20" x14ac:dyDescent="0.35">
      <c r="A48" s="8" t="s">
        <v>33</v>
      </c>
      <c r="B48" s="61">
        <f t="shared" ref="B48:M48" si="7">B17</f>
        <v>0</v>
      </c>
      <c r="C48" s="61">
        <f t="shared" si="7"/>
        <v>0</v>
      </c>
      <c r="D48" s="61">
        <f t="shared" si="7"/>
        <v>0</v>
      </c>
      <c r="E48" s="61">
        <f t="shared" si="7"/>
        <v>0</v>
      </c>
      <c r="F48" s="61">
        <f t="shared" si="7"/>
        <v>0</v>
      </c>
      <c r="G48" s="61">
        <f t="shared" si="7"/>
        <v>0</v>
      </c>
      <c r="H48" s="61">
        <f t="shared" si="7"/>
        <v>0</v>
      </c>
      <c r="I48" s="61">
        <f t="shared" si="7"/>
        <v>0</v>
      </c>
      <c r="J48" s="61">
        <f t="shared" si="7"/>
        <v>0</v>
      </c>
      <c r="K48" s="61">
        <f t="shared" si="7"/>
        <v>0</v>
      </c>
      <c r="L48" s="61">
        <f t="shared" si="7"/>
        <v>0</v>
      </c>
      <c r="M48" s="61">
        <f t="shared" si="7"/>
        <v>0</v>
      </c>
      <c r="N48" s="4"/>
      <c r="O48" s="7"/>
      <c r="P48" s="12"/>
      <c r="Q48" s="4"/>
      <c r="R48" s="4"/>
      <c r="S48" s="4"/>
    </row>
    <row r="49" spans="1:19" x14ac:dyDescent="0.35">
      <c r="A49" s="8" t="s">
        <v>42</v>
      </c>
      <c r="B49" s="61">
        <f>($B$154+$B$14)/12</f>
        <v>0</v>
      </c>
      <c r="C49" s="61">
        <f>($B$154+$B$14)/12+($C$14+$C$154)/11</f>
        <v>0</v>
      </c>
      <c r="D49" s="61">
        <f>($B$154+$B$14)/12+($C$14+$C$154)/11+($D$14+$D$154)/10</f>
        <v>0</v>
      </c>
      <c r="E49" s="61">
        <f>($B$154+$B$14)/12+($C$14+$C$154)/11+($D$14+$D$154)/10+($E$14+$E$154)/9</f>
        <v>0</v>
      </c>
      <c r="F49" s="61">
        <f>($B$154+$B$14)/12+($C$14+$C$154)/11+($D$14+$D$154)/10+($E$14+$E$154)/9+($F$14+$F$154)/8</f>
        <v>0</v>
      </c>
      <c r="G49" s="61">
        <f>($B$154+$B$14)/12+($C$14+$C$154)/11+($D$14+$D$154)/10+($E$14+$E$154)/9+($F$14+$F$154)/8+($G$14+$G$154)/7</f>
        <v>0</v>
      </c>
      <c r="H49" s="61">
        <f>($B$154+$B$14)/12+($C$14+$C$154)/11+($D$14+$D$154)/10+($E$14+$E$154)/9+($F$14+$F$154)/8+($G$14+$G$154)/7+($H$14+$H$154)/6</f>
        <v>0</v>
      </c>
      <c r="I49" s="61">
        <f>($B$154+$B$14)/12+($C$14+$C$154)/11+($D$14+$D$154)/10+($E$14+$E$154)/9+($F$14+$F$154)/8+($G$14+$G$154)/7+($H$14+$H$154)/6+($I$14+$I$154)/5</f>
        <v>0</v>
      </c>
      <c r="J49" s="61">
        <f>($B$154+$B$14)/12+($C$14+$C$154)/11+($D$14+$D$154)/10+($E$14+$E$154)/9+($F$14+$F$154)/8+($G$14+$G$154)/7+($H$14+$H$154)/6+($I$14+$I$154)/5+($J$14+$J$154)/4</f>
        <v>0</v>
      </c>
      <c r="K49" s="61">
        <f>($B$154+$B$14)/12+($C$14+$C$154)/11+($D$14+$D$154)/10+($E$14+$E$154)/9+($F$14+$F$154)/8+($G$14+$G$154)/7+($H$14+$H$154)/6+($I$14+$I$154)/5+($J$14+$J$154)/4+($K$14+$K$154)/3</f>
        <v>0</v>
      </c>
      <c r="L49" s="61">
        <f>($B$154+$B$14)/12+($C$14+$C$154)/11+($D$14+$D$154)/10+($E$14+$E$154)/9+($F$14+$F$154)/8+($G$14+$G$154)/7+($H$14+$H$154)/6+($I$14+$I$154)/5+($J$14+$J$154)/4+($K$14+$K$154)/3+(L$14+$L$154)/2</f>
        <v>0</v>
      </c>
      <c r="M49" s="61">
        <f>($B$154+$B$14)/12+($C$14+$C$154)/11+($D$14+$D$154)/10+($E$14+$E$154)/9+($F$14+$F$154)/8+($G$14+$G$154)/7+($H$14+$H$154)/6+($I$14+$I$154)/5+($J$14+$J$154)/4+($K$14+$K$154)/3+(M$14+$L$154)/2+($M$14+$M$154)</f>
        <v>0</v>
      </c>
      <c r="N49" s="4"/>
      <c r="O49" s="7"/>
      <c r="P49" s="12"/>
      <c r="Q49" s="4"/>
      <c r="R49" s="4"/>
      <c r="S49" s="4"/>
    </row>
    <row r="50" spans="1:19" x14ac:dyDescent="0.35">
      <c r="A50" s="8" t="s">
        <v>35</v>
      </c>
      <c r="B50" s="61">
        <f>$B$18/12</f>
        <v>0</v>
      </c>
      <c r="C50" s="61">
        <f>$B$18/12+$C$18/11</f>
        <v>0</v>
      </c>
      <c r="D50" s="61">
        <f>$B$18/12+$C$18/11+$D$18/10</f>
        <v>0</v>
      </c>
      <c r="E50" s="61">
        <f>$B$18/12+$C$18/11+$D$18/10+$E$18/9</f>
        <v>0</v>
      </c>
      <c r="F50" s="61">
        <f>$B$18/12+$C$18/11+$D$18/10+$E$18/9+$F$18/8</f>
        <v>0</v>
      </c>
      <c r="G50" s="61">
        <f>$B$18/12+$C$18/11+$D$18/10+$E$18/9+$F$18/8+$G$18/7</f>
        <v>0</v>
      </c>
      <c r="H50" s="61">
        <f>$B$18/12+$C$18/11+$D$18/10+$E$18/9+$F$18/8+$G$18/7+$H$18/6</f>
        <v>0</v>
      </c>
      <c r="I50" s="61">
        <f>$B$18/12+$C$18/11+$D$18/10+$E$18/9+$F$18/8+$G$18/7+$H$18/6+$I$18/5</f>
        <v>0</v>
      </c>
      <c r="J50" s="61">
        <f>$B$18/12+$C$18/11+$D$18/10+$E$18/9+$F$18/8+$G$18/7+$H$18/6+$I$18/5+$J$18/4</f>
        <v>0</v>
      </c>
      <c r="K50" s="61">
        <f>$B$18/12+$C$18/11+$D$18/10+$E$18/9+$F$18/8+$G$18/7+$H$18/6+$I$18/5+$J$18/4+$K$18/3</f>
        <v>0</v>
      </c>
      <c r="L50" s="61">
        <f>$B$18/12+$C$18/11+$D$18/10+$E$18/9+$F$18/8+$G$18/7+$H$18/6+$I$18/5+$J$18/4+$K$18/3+$L$18/2</f>
        <v>0</v>
      </c>
      <c r="M50" s="61">
        <f>$B$18/12+$C$18/11+$D$18/10+$E$18/9+$F$18/8+$G$18/7+$H$18/6+$I$18/5+$J$18/4+$K$18/3+$L$18/2+$M$18</f>
        <v>0</v>
      </c>
      <c r="N50" s="4"/>
      <c r="O50" s="7"/>
      <c r="P50" s="12"/>
      <c r="Q50" s="4"/>
      <c r="R50" s="4"/>
      <c r="S50" s="4"/>
    </row>
    <row r="51" spans="1:19" x14ac:dyDescent="0.35">
      <c r="A51" s="48" t="s">
        <v>43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4"/>
      <c r="O51" s="7"/>
      <c r="P51" s="12"/>
      <c r="Q51" s="4"/>
      <c r="R51" s="4"/>
      <c r="S51" s="4"/>
    </row>
    <row r="52" spans="1:19" x14ac:dyDescent="0.35">
      <c r="A52" s="42" t="s">
        <v>41</v>
      </c>
      <c r="B52" s="62">
        <f t="shared" ref="B52:M52" si="8">B31+B32</f>
        <v>0</v>
      </c>
      <c r="C52" s="62">
        <f t="shared" si="8"/>
        <v>0</v>
      </c>
      <c r="D52" s="62">
        <f t="shared" si="8"/>
        <v>0</v>
      </c>
      <c r="E52" s="62">
        <f t="shared" si="8"/>
        <v>0</v>
      </c>
      <c r="F52" s="62">
        <f t="shared" si="8"/>
        <v>0</v>
      </c>
      <c r="G52" s="62">
        <f t="shared" si="8"/>
        <v>0</v>
      </c>
      <c r="H52" s="62">
        <f t="shared" si="8"/>
        <v>0</v>
      </c>
      <c r="I52" s="62">
        <f t="shared" si="8"/>
        <v>0</v>
      </c>
      <c r="J52" s="62">
        <f t="shared" si="8"/>
        <v>0</v>
      </c>
      <c r="K52" s="62">
        <f t="shared" si="8"/>
        <v>0</v>
      </c>
      <c r="L52" s="62">
        <f t="shared" si="8"/>
        <v>0</v>
      </c>
      <c r="M52" s="62">
        <f t="shared" si="8"/>
        <v>0</v>
      </c>
      <c r="N52" s="4"/>
      <c r="O52" s="7"/>
      <c r="P52" s="12"/>
      <c r="Q52" s="4"/>
      <c r="R52" s="4"/>
      <c r="S52" s="4"/>
    </row>
    <row r="53" spans="1:19" x14ac:dyDescent="0.35">
      <c r="A53" s="42" t="s">
        <v>33</v>
      </c>
      <c r="B53" s="62">
        <f t="shared" ref="B53:M53" si="9">B33</f>
        <v>0</v>
      </c>
      <c r="C53" s="62">
        <f t="shared" si="9"/>
        <v>0</v>
      </c>
      <c r="D53" s="62">
        <f t="shared" si="9"/>
        <v>0</v>
      </c>
      <c r="E53" s="62">
        <f t="shared" si="9"/>
        <v>0</v>
      </c>
      <c r="F53" s="62">
        <f t="shared" si="9"/>
        <v>0</v>
      </c>
      <c r="G53" s="62">
        <f t="shared" si="9"/>
        <v>0</v>
      </c>
      <c r="H53" s="62">
        <f t="shared" si="9"/>
        <v>0</v>
      </c>
      <c r="I53" s="62">
        <f t="shared" si="9"/>
        <v>0</v>
      </c>
      <c r="J53" s="62">
        <f t="shared" si="9"/>
        <v>0</v>
      </c>
      <c r="K53" s="62">
        <f t="shared" si="9"/>
        <v>0</v>
      </c>
      <c r="L53" s="62">
        <f t="shared" si="9"/>
        <v>0</v>
      </c>
      <c r="M53" s="62">
        <f t="shared" si="9"/>
        <v>0</v>
      </c>
      <c r="N53" s="4"/>
      <c r="O53" s="7"/>
      <c r="P53" s="12"/>
      <c r="Q53" s="4"/>
      <c r="R53" s="4"/>
      <c r="S53" s="4"/>
    </row>
    <row r="54" spans="1:19" x14ac:dyDescent="0.35">
      <c r="A54" s="42" t="s">
        <v>42</v>
      </c>
      <c r="B54" s="61">
        <f>($B$155+$B$35)/12</f>
        <v>0</v>
      </c>
      <c r="C54" s="61">
        <f>($B$155+$B$35)/12+($C$155+$C$35)/11</f>
        <v>0</v>
      </c>
      <c r="D54" s="61">
        <f>($B$155+$B$35)/12+($C$35+$C$155)/11+($D$35+$D$155)/10</f>
        <v>0</v>
      </c>
      <c r="E54" s="61">
        <f>($B$155+$B$35)/12+($C$35+$C$155)/11+($D$35+$D$155)/10+($E$35+$E$155)/9</f>
        <v>0</v>
      </c>
      <c r="F54" s="61">
        <f>($B$155+$B$35)/12+($C$35+$C$155)/11+($D$35+$D$155)/10+($E$35+$E$155)/9+($F$35+$F$155)/8</f>
        <v>0</v>
      </c>
      <c r="G54" s="61">
        <f>($B$155+$B$35)/12+($C$35+$C$155)/11+($D$35+$D$155)/10+($E$35+$E$155)/9+($F$35+$F$155)/8+($G$35+$G$155)/7</f>
        <v>0</v>
      </c>
      <c r="H54" s="61">
        <f>($B$155+$B$35)/12+($C$35+$C$155)/11+($D$35+$D$155)/10+($E$35+$E$155)/9+($F$35+$F$155)/8+($G$35+$G$155)/7+($H$35+$H$155)/6</f>
        <v>0</v>
      </c>
      <c r="I54" s="61">
        <f>($B$155+$B$35)/12+($C$35+$C$155)/11+($D$35+$D$155)/10+($E$35+$E$155)/9+($F$35+$F$155)/8+($G$35+$G$155)/7+($H$35+$H$155)/6+($I$35+$I$155)/5</f>
        <v>0</v>
      </c>
      <c r="J54" s="61">
        <f>($B$155+$B$35)/12+($C$35+$C$155)/11+($D$35+$D$155)/10+($E$35+$E$155)/9+($F$35+$F$155)/8+($G$35+$G$155)/7+($H$35+$H$155)/6+($I$35+$I$155)/5+($J$35+$J$155)/4</f>
        <v>0</v>
      </c>
      <c r="K54" s="61">
        <f>($B$155+$B$35)/12+($C$35+$C$155)/11+($D$35+$D$155)/10+($E$35+$E$155)/9+($F$35+$F$155)/8+($G$35+$G$155)/7+($H$35+$H$155)/6+($I$35+$I$155)/5+($J$35+$J$155)/4+($K$35+$K$155)/3</f>
        <v>0</v>
      </c>
      <c r="L54" s="61">
        <f>($B$155+$B$35)/12+($C$35+$C$155)/11+($D$35+$D$155)/10+($E$35+$E$155)/9+($F$35+$F$155)/8+($G$35+$G$155)/7+($H$35+$H$155)/6+($I$35+$I$155)/5+($J$35+$J$155)/4+($K$35+$K$155)/3+(L$35+$L$155)/2</f>
        <v>0</v>
      </c>
      <c r="M54" s="61">
        <f>($B$155+$B$35)/12+($C$35+$C$155)/11+($D$35+$D$155)/10+($E$35+$E$155)/9+($F$35+$F$155)/8+($G$35+$G$155)/7+($H$35+$H$155)/6+($I$35+$I$155)/5+($J$35+$J$155)/4+($K$35+$K$155)/3+(L$35+$L$155)/2+($M$35+$M$155)</f>
        <v>0</v>
      </c>
      <c r="N54" s="4"/>
      <c r="O54" s="9"/>
      <c r="P54" s="12"/>
      <c r="Q54" s="4"/>
      <c r="R54" s="4"/>
      <c r="S54" s="4"/>
    </row>
    <row r="55" spans="1:19" ht="15.75" customHeight="1" x14ac:dyDescent="0.35">
      <c r="A55" s="42" t="s">
        <v>35</v>
      </c>
      <c r="B55" s="61">
        <f>$B$36/12</f>
        <v>0</v>
      </c>
      <c r="C55" s="61">
        <f>$B$36/12+$C$36/11</f>
        <v>0</v>
      </c>
      <c r="D55" s="61">
        <f>$B$36/12+$C$36/11+$D$36/10</f>
        <v>0</v>
      </c>
      <c r="E55" s="61">
        <f>$B$36/12+$C$36/11+$D$36/10+$E$36/9</f>
        <v>0</v>
      </c>
      <c r="F55" s="61">
        <f>$B$36/12+$C$36/11+$D$36/10+$E$36/9+$F$36/8</f>
        <v>0</v>
      </c>
      <c r="G55" s="61">
        <f>$B$36/12+$C$36/11+$D$36/10+$E$36/9+$F$36/8+$G$36/7</f>
        <v>0</v>
      </c>
      <c r="H55" s="61">
        <f>$B$36/12+$C$36/11+$D$36/10+$E$36/9+$F$36/8+$G$36/7+$H$36/6</f>
        <v>0</v>
      </c>
      <c r="I55" s="61">
        <f>$B$36/12+$C$36/11+$D$36/10+$E$36/9+$F$36/8+$G$36/7+$H$36/6+$I$36/5</f>
        <v>0</v>
      </c>
      <c r="J55" s="61">
        <f>$B$36/12+$C$36/11+$D$36/10+$E$36/9+$F$36/8+$G$36/7+$H$36/6+$I$36/5+$J$36/4</f>
        <v>0</v>
      </c>
      <c r="K55" s="61">
        <f>$B$36/12+$C$36/11+$D$36/10+$E$36/9+$F$36/8+$G$36/7+$H$36/6+$I$36/5+$J$36/4+$K$36/3</f>
        <v>0</v>
      </c>
      <c r="L55" s="61">
        <f>$B$36/12+$C$36/11+$D$36/10+$E$36/9+$F$36/8+$G$36/7+$H$36/6+$I$36/5+$J$36/4+$K$36/3+$L$36/2</f>
        <v>0</v>
      </c>
      <c r="M55" s="61">
        <f>$B$36/12+$C$36/11+$D$36/10+$E$36/9+$F$36/8+$G$36/7+$H$36/6+$I$36/5+$J$36/4+$K$36/3+$L$36/2+$M$36</f>
        <v>0</v>
      </c>
      <c r="N55" s="4"/>
      <c r="O55" s="9"/>
      <c r="P55" s="12"/>
      <c r="Q55" s="4"/>
      <c r="R55" s="4"/>
      <c r="S55" s="4"/>
    </row>
    <row r="56" spans="1:19" x14ac:dyDescent="0.35">
      <c r="A56" s="21" t="s">
        <v>44</v>
      </c>
      <c r="B56" s="76">
        <f t="shared" ref="B56:M56" si="10">SUM(B47:B55)</f>
        <v>0</v>
      </c>
      <c r="C56" s="76">
        <f t="shared" si="10"/>
        <v>0</v>
      </c>
      <c r="D56" s="76">
        <f t="shared" si="10"/>
        <v>0</v>
      </c>
      <c r="E56" s="76">
        <f t="shared" si="10"/>
        <v>0</v>
      </c>
      <c r="F56" s="76">
        <f t="shared" si="10"/>
        <v>0</v>
      </c>
      <c r="G56" s="76">
        <f t="shared" si="10"/>
        <v>0</v>
      </c>
      <c r="H56" s="76">
        <f t="shared" si="10"/>
        <v>0</v>
      </c>
      <c r="I56" s="76">
        <f t="shared" si="10"/>
        <v>0</v>
      </c>
      <c r="J56" s="76">
        <f t="shared" si="10"/>
        <v>0</v>
      </c>
      <c r="K56" s="76">
        <f t="shared" si="10"/>
        <v>0</v>
      </c>
      <c r="L56" s="76">
        <f t="shared" si="10"/>
        <v>0</v>
      </c>
      <c r="M56" s="76">
        <f t="shared" si="10"/>
        <v>0</v>
      </c>
      <c r="N56" s="4"/>
      <c r="O56" s="9"/>
      <c r="P56" s="12"/>
      <c r="Q56" s="4"/>
      <c r="R56" s="4"/>
      <c r="S56" s="4"/>
    </row>
    <row r="57" spans="1:19" x14ac:dyDescent="0.35">
      <c r="A57" s="42" t="s">
        <v>45</v>
      </c>
      <c r="B57" s="62">
        <f>IF($B$42&gt;404062,$B$56/12,0)</f>
        <v>0</v>
      </c>
      <c r="C57" s="62">
        <f>IF(C42&gt;404062,C56/12,0)</f>
        <v>0</v>
      </c>
      <c r="D57" s="62">
        <f>IF(D42&gt;404062,D56/12,0)</f>
        <v>0</v>
      </c>
      <c r="E57" s="62">
        <f>IF(E42&gt;404062,E56/12,0)</f>
        <v>0</v>
      </c>
      <c r="F57" s="62">
        <f>IF(F42&gt;404062,F56/12,0)</f>
        <v>0</v>
      </c>
      <c r="G57" s="77"/>
      <c r="H57" s="62">
        <f>IF(H42&gt;404062,H56/12,0)</f>
        <v>0</v>
      </c>
      <c r="I57" s="62">
        <f>IF(I42&gt;404062,I56/12,0)</f>
        <v>0</v>
      </c>
      <c r="J57" s="62">
        <f>IF(J42&gt;404062,J56/12,0)</f>
        <v>0</v>
      </c>
      <c r="K57" s="62">
        <f>IF(K42&gt;404062,K56/12,0)</f>
        <v>0</v>
      </c>
      <c r="L57" s="62">
        <f>IF(L42&gt;404062,L56/12,0)</f>
        <v>0</v>
      </c>
      <c r="M57" s="63"/>
      <c r="N57" s="4"/>
      <c r="O57" s="9"/>
      <c r="P57" s="12"/>
      <c r="Q57" s="4"/>
      <c r="R57" s="4"/>
      <c r="S57" s="4"/>
    </row>
    <row r="58" spans="1:19" x14ac:dyDescent="0.35">
      <c r="A58" s="8" t="s">
        <v>46</v>
      </c>
      <c r="B58" s="63"/>
      <c r="C58" s="63"/>
      <c r="D58" s="63"/>
      <c r="E58" s="63"/>
      <c r="F58" s="63"/>
      <c r="G58" s="62">
        <f>IF(G42&lt;=404062,IF(G15+G38&gt;202031, G15+G38-202031-SUM(B57:F57),IF(G15+G38&gt;0,0-SUM(B57:F57),0)),IF(G15+G38&gt;0,G15+G38-SUM(B57:F57),0))</f>
        <v>0</v>
      </c>
      <c r="H58" s="63"/>
      <c r="I58" s="63"/>
      <c r="J58" s="63"/>
      <c r="K58" s="63"/>
      <c r="L58" s="63"/>
      <c r="M58" s="61">
        <f>IF($M$42&lt;=404062,IF((M15+M38)&gt;202031, M15+M38-202031-SUM(H57:L57),0-SUM(H57:L57)),IF(M15+M38&gt;0,M15+M38-SUM(H57:L57),0))</f>
        <v>0</v>
      </c>
      <c r="N58" s="4"/>
      <c r="O58" s="9"/>
      <c r="P58" s="12"/>
      <c r="Q58" s="4"/>
      <c r="R58" s="4"/>
      <c r="S58" s="4"/>
    </row>
    <row r="59" spans="1:19" x14ac:dyDescent="0.35">
      <c r="A59" s="21" t="s">
        <v>47</v>
      </c>
      <c r="B59" s="76">
        <f>B56+B57+B58</f>
        <v>0</v>
      </c>
      <c r="C59" s="76">
        <f t="shared" ref="C59:M59" si="11">C56+C57+C58</f>
        <v>0</v>
      </c>
      <c r="D59" s="76">
        <f t="shared" si="11"/>
        <v>0</v>
      </c>
      <c r="E59" s="76">
        <f t="shared" si="11"/>
        <v>0</v>
      </c>
      <c r="F59" s="76">
        <f t="shared" si="11"/>
        <v>0</v>
      </c>
      <c r="G59" s="76">
        <f t="shared" si="11"/>
        <v>0</v>
      </c>
      <c r="H59" s="76">
        <f t="shared" si="11"/>
        <v>0</v>
      </c>
      <c r="I59" s="76">
        <f t="shared" si="11"/>
        <v>0</v>
      </c>
      <c r="J59" s="76">
        <f t="shared" si="11"/>
        <v>0</v>
      </c>
      <c r="K59" s="76">
        <f t="shared" si="11"/>
        <v>0</v>
      </c>
      <c r="L59" s="76">
        <f t="shared" si="11"/>
        <v>0</v>
      </c>
      <c r="M59" s="76">
        <f t="shared" si="11"/>
        <v>0</v>
      </c>
      <c r="N59" s="4"/>
      <c r="O59" s="9"/>
      <c r="P59" s="12"/>
      <c r="Q59" s="4"/>
      <c r="R59" s="4"/>
      <c r="S59" s="4"/>
    </row>
    <row r="60" spans="1:19" x14ac:dyDescent="0.35">
      <c r="A60" s="46" t="s">
        <v>48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4"/>
      <c r="O60" s="9"/>
      <c r="P60" s="12"/>
      <c r="Q60" s="4"/>
      <c r="R60" s="4"/>
      <c r="S60" s="4"/>
    </row>
    <row r="61" spans="1:19" x14ac:dyDescent="0.35">
      <c r="A61" s="42" t="s">
        <v>25</v>
      </c>
      <c r="B61" s="86">
        <f>IF($B$16&gt;548651.9,(548651.9*$C$158), ($B$47+$B$49+$B$52+$B$54)*$C$158)</f>
        <v>0</v>
      </c>
      <c r="C61" s="86">
        <f>IF($C$16&gt;548651.9,(548651.9*$C$158),($C$47+$C$49+$C$52+$C$54)*$C$158)</f>
        <v>0</v>
      </c>
      <c r="D61" s="86">
        <f>IF($D$16&gt;548651.9,(548651.9*$C$158),($D$47+$D$49+$D$52+$D$54)*$C$158)</f>
        <v>0</v>
      </c>
      <c r="E61" s="86">
        <f>IF($E$16&gt;548651.9,(548651.9*$C$158),($E$47+$E$49+$E$52+$E$54)*$C$158)</f>
        <v>0</v>
      </c>
      <c r="F61" s="86">
        <f>IF($F$16&gt;548651.9,(548651.9*$C$158),($F$47+$F$49+$F$52+$F$54)*$C$158)</f>
        <v>0</v>
      </c>
      <c r="G61" s="86">
        <f>IF(($G$7+$G$8+$G$9+$G$10+$G$11+$G$12+$G$13+$G$14)&gt;548651.9,(548651.9*$C$158),($G$47+$G$49+$G$52+$G$54)*$C$158)</f>
        <v>0</v>
      </c>
      <c r="H61" s="86">
        <f>IF($H$16&gt;548651.9,(548651.9*$C$158),($H$47+$H$49+$H$52+$H$54)*$C$158)</f>
        <v>0</v>
      </c>
      <c r="I61" s="86">
        <f>IF($I$16&gt;548651.9,(548651.9*$C$158),($I$47+$I$49+$I$52+$I$54)*$C$158)</f>
        <v>0</v>
      </c>
      <c r="J61" s="86">
        <f>IF($J$16&gt;548651.9,(548651.9*$C$158),($J$47+$J$49+$J$52+$J$54)*$C$158)</f>
        <v>0</v>
      </c>
      <c r="K61" s="86">
        <f>IF($K$16&gt;548651.9,(548651.9*$C$158),($K$47+$K$49+$K$52+$K$54)*$C$158)</f>
        <v>0</v>
      </c>
      <c r="L61" s="86">
        <f>IF($L$16&gt;548651.9,(548651.9*$C$158),($L$47+$L$49+$L$52+$L$54)*$C$158)</f>
        <v>0</v>
      </c>
      <c r="M61" s="86">
        <f>IF(($M$7+$M$8+$M$9+$M$10+$M$11+$M$12+$M$13+$M$14)&gt;548651.9,(548651.9*$C$158),($M$47+$M$49+$M$52+$M$54)*$C$158)</f>
        <v>0</v>
      </c>
      <c r="N61" s="4"/>
      <c r="O61" s="9"/>
      <c r="P61" s="12"/>
      <c r="Q61" s="4"/>
      <c r="R61" s="4"/>
      <c r="S61" s="4"/>
    </row>
    <row r="62" spans="1:19" x14ac:dyDescent="0.35">
      <c r="A62" s="42" t="s">
        <v>26</v>
      </c>
      <c r="B62" s="86">
        <f>IF($B$16&gt;548651.9,(548651.9*$C$159), ($B$47+$B$49+$B$52+$B$54)*$C$159)</f>
        <v>0</v>
      </c>
      <c r="C62" s="86">
        <f>IF($C$16&gt;548651.9,(548651.9*$C$159),($C$47+$C$49+$C$52+$C$54)*$C$159)</f>
        <v>0</v>
      </c>
      <c r="D62" s="86">
        <f>IF($D$16&gt;548651.9,(548651.9*$C$159),($D$47+$D$49+$D$52+$D$54)*$C$159)</f>
        <v>0</v>
      </c>
      <c r="E62" s="86">
        <f>IF($E$16&gt;548651.9,(548651.9*$C$159),($E$47+$E$49+$E$52+$E$54)*$C$159)</f>
        <v>0</v>
      </c>
      <c r="F62" s="86">
        <f>IF($F$16&gt;548651.9,(548651.9*$C$159),($F$47+$F$49+$F$52+$F$54)*$C$159)</f>
        <v>0</v>
      </c>
      <c r="G62" s="86">
        <f>IF(($G$7+$G$8+$G$9+$G$10+$G$11+$G$12+$G$13+$G$14)&gt;548651.9,(548651.9*$C$159),($G$47+$G$49+$G$52+$G$54)*$C$159)</f>
        <v>0</v>
      </c>
      <c r="H62" s="86">
        <f>IF($H$16&gt;548651.9,(548651.9*$C$159),($H$47+$H$49+$H$52+$H$54)*$C$159)</f>
        <v>0</v>
      </c>
      <c r="I62" s="86">
        <f>IF($I$16&gt;548651.9,(548651.9*$C$159),($I$47+$I$49+$I$52+$I$54)*$C$159)</f>
        <v>0</v>
      </c>
      <c r="J62" s="86">
        <f>IF($J$16&gt;548651.9,(548651.9*$C$159),($J$47+$J$49+$J$52+$J$54)*$C$159)</f>
        <v>0</v>
      </c>
      <c r="K62" s="86">
        <f>IF($K$16&gt;548651.9,(548651.9*$C$159),($K$47+$K$49+$K$52+$K$54)*$C$159)</f>
        <v>0</v>
      </c>
      <c r="L62" s="86">
        <f>IF($L$16&gt;548651.9,(548651.9*$C$159),($L$47+$L$49+$L$52+$L$54)*$C$159)</f>
        <v>0</v>
      </c>
      <c r="M62" s="86">
        <f>IF(($M$7+$M$8+$M$9+$M$10+$M$11+$M$12+$M$13+$M$14)&gt;548651.9,(548651.9*$C$159),($M$47+$M$49+$M$52+$M$54)*$C$159)</f>
        <v>0</v>
      </c>
      <c r="N62" s="4"/>
      <c r="O62" s="9"/>
      <c r="P62" s="12"/>
      <c r="Q62" s="4"/>
      <c r="R62" s="4"/>
      <c r="S62" s="4"/>
    </row>
    <row r="63" spans="1:19" x14ac:dyDescent="0.35">
      <c r="A63" s="42" t="s">
        <v>27</v>
      </c>
      <c r="B63" s="86">
        <f>IF($B$16&gt;548651.9,(548651.9*$C$160), ($B$47+$B$49+$B$52+$B$54)*$C$160)</f>
        <v>0</v>
      </c>
      <c r="C63" s="86">
        <f>IF($C$16&gt;548651.9,(548651.9*$C$160),($C$47+$C$49+$C$52+$C$54)*$C$160)</f>
        <v>0</v>
      </c>
      <c r="D63" s="86">
        <f>IF($D$16&gt;548651.9,(548651.9*$C$160),($D$47+$D$49+$D$52+$D$54)*$C$160)</f>
        <v>0</v>
      </c>
      <c r="E63" s="86">
        <f>IF($E$16&gt;548651.9,(548651.9*$C$160),($E$47+$E$49+$E$52+$E$54)*$C$160)</f>
        <v>0</v>
      </c>
      <c r="F63" s="86">
        <f>IF($F$16&gt;548651.9,(548651.9*$C$160),($F$47+$F$49+$F$52+$F$54)*$C$160)</f>
        <v>0</v>
      </c>
      <c r="G63" s="86">
        <f>IF(($G$7+$G$8+$G$9+$G$10+$G$11+$G$12+$G$13+$G$14)&gt;548651.9,(548651.9*$C$160),($G$47+$G$49+$G$52+$G$54)*$C$160)</f>
        <v>0</v>
      </c>
      <c r="H63" s="86">
        <f>IF($H$16&gt;548651.9,(548651.9*$C$160),($H$47+$H$49+$H$52+$H$54)*$C$160)</f>
        <v>0</v>
      </c>
      <c r="I63" s="86">
        <f>IF($I$16&gt;548651.9,(548651.9*$C$160),($I$47+$I$49+$I$52+$I$54)*$C$160)</f>
        <v>0</v>
      </c>
      <c r="J63" s="86">
        <f>IF($J$16&gt;548651.9,(548651.9*$C$160),($J$47+$J$49+$J$52+$J$54)*$C$160)</f>
        <v>0</v>
      </c>
      <c r="K63" s="86">
        <f>IF($K$16&gt;548651.9,(548651.9*$C$160),($K$47+$K$49+$K$52+$K$54)*$C$160)</f>
        <v>0</v>
      </c>
      <c r="L63" s="86">
        <f>IF($L$16&gt;548651.9,(548651.9*$C$160),($L$47+$L$49+$L$52+$L$54)*$C$160)</f>
        <v>0</v>
      </c>
      <c r="M63" s="86">
        <f>IF(($M$7+$M$8+$M$9+$M$10+$M$11+$M$12+$M$13+$M$14)&gt;548651.9,(548651.9*$C$160),($M$47+$M$49+$M$52+$M$54)*$C$160)</f>
        <v>0</v>
      </c>
      <c r="N63" s="4"/>
      <c r="O63" s="9"/>
      <c r="P63" s="12"/>
      <c r="Q63" s="4"/>
      <c r="R63" s="4"/>
      <c r="S63" s="4"/>
    </row>
    <row r="64" spans="1:19" x14ac:dyDescent="0.35">
      <c r="A64" s="42" t="s">
        <v>28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4"/>
      <c r="O64" s="9"/>
      <c r="P64" s="12"/>
      <c r="Q64" s="4"/>
      <c r="R64" s="4"/>
      <c r="S64" s="4"/>
    </row>
    <row r="65" spans="1:19" x14ac:dyDescent="0.35">
      <c r="A65" s="45" t="s">
        <v>49</v>
      </c>
      <c r="B65" s="62">
        <f>IF($B$124&gt;20000,20000,$B$124)</f>
        <v>0</v>
      </c>
      <c r="C65" s="62">
        <f>IF(SUM($B$124:$C$124)&gt;20000,(20000-$B$65),$C$124)</f>
        <v>0</v>
      </c>
      <c r="D65" s="62">
        <f>IF(SUM($B$124:$D$124)&gt;20000,(20000-$B$65-$C$65),$D$124)</f>
        <v>0</v>
      </c>
      <c r="E65" s="62">
        <f>IF(SUM($B$124:$E$124)&gt;20000,(20000-$B$65-$C$65-$D$65),$E$124)</f>
        <v>0</v>
      </c>
      <c r="F65" s="62">
        <f>IF(SUM($B$124:$F$124)&gt;20000,(20000-$B$65-$C$65-$D$65-$E$65),$F$124)</f>
        <v>0</v>
      </c>
      <c r="G65" s="62">
        <f>IF(SUM($B$124:$G$124)&gt;20000,(20000-$B$65-$C$65-$D$65-$E$65-$F$65),$G$124)</f>
        <v>0</v>
      </c>
      <c r="H65" s="62">
        <f>IF(SUM($B$124:$H$124)&gt;20000,(20000-$B$65-$C$65-$D$65-$E$65-$F$65-$G$65),$H$124)</f>
        <v>0</v>
      </c>
      <c r="I65" s="62">
        <f>IF(SUM($B$124:$I$124)&gt;20000,(20000-$B$65-$C$65-$D$65-$E$65-$F$65-$G$65-$H$65),$I$124)</f>
        <v>0</v>
      </c>
      <c r="J65" s="62">
        <f>IF(SUM($B$124:$J$124)&gt;20000,(20000-$B$65-$C$65-$D$65-$E$65-$F$65-$G$65-$H$65-$I$65),$J$124)</f>
        <v>0</v>
      </c>
      <c r="K65" s="62">
        <f>IF(SUM($B$124:$K$124)&gt;20000,(20000-$B$65-$C$65-$D$65-$E$65-$F$65-$G$65-$H$65-$I$65-$J$65),$K$124)</f>
        <v>0</v>
      </c>
      <c r="L65" s="62">
        <f>IF(SUM($B$124:$L$124)&gt;20000,(20000-$B$65-$C$65-$D$65-$E$65-$F$65-$G$65-$H$65-$I$65-$J$65-$K$65),$L$124)</f>
        <v>0</v>
      </c>
      <c r="M65" s="62">
        <f>IF(SUM($B$124:$M$124)&gt;20000,(20000-$B$65-$C$65-$D$65-$E$65-$F$65-$G$65-$H$65-$I$65-$J$65-$K$65-$L$65),$M$124)</f>
        <v>0</v>
      </c>
      <c r="N65" s="4"/>
      <c r="O65" s="9"/>
      <c r="P65" s="12"/>
      <c r="Q65" s="4"/>
      <c r="R65" s="4"/>
      <c r="S65" s="4"/>
    </row>
    <row r="66" spans="1:19" x14ac:dyDescent="0.35">
      <c r="A66" s="45" t="s">
        <v>50</v>
      </c>
      <c r="B66" s="62">
        <f>IF($B$126&gt;$B$80,$B$80,$B$126)</f>
        <v>0</v>
      </c>
      <c r="C66" s="62">
        <f>IF(SUM($B$126:$C$126)&gt; $C$80, $C$80-$B$66,SUM($B$126:$C$126)-$B$66)</f>
        <v>0</v>
      </c>
      <c r="D66" s="62">
        <f>IF(SUM($B$126:$D$126)&gt; $D$80, $D$80-$B$66-$C$66,SUM($B$126:$D$126)-$B$66-$C$66)</f>
        <v>0</v>
      </c>
      <c r="E66" s="62">
        <f>IF(SUM($B$126:$E$126)&gt; $E$80, $E$80-$B$66-$C$66-$D$66,SUM($B$126:$E$126)-$B$66-$C$66-$D$66)</f>
        <v>0</v>
      </c>
      <c r="F66" s="62">
        <f>IF(SUM($B$126:$F$126)&gt; $F$80, $F$80-$B$66-$C$66-$D$66-$E$66,SUM($B$126:$F$126)-$B$66-$C$66-$D$66-$E$66)</f>
        <v>0</v>
      </c>
      <c r="G66" s="62">
        <f>IF(SUM($B$126:$G$126)&gt; $G$80, $G$80-$B$66-$C$66-$D$66-E$66-$F$66,SUM($B$126:$G$126)-$B$66-$C$66-$D$66-$E$66-$F$66)</f>
        <v>0</v>
      </c>
      <c r="H66" s="62">
        <f>IF(SUM($B$126:$H$126)&gt; $H$80, $H$80-$B$66-$C$66-$D$66-$E$66-$F$66-$G$66,SUM($B$126:$H$126)-$B$66-$C$66-$D$66-$E$66-$F$66-$G$66)</f>
        <v>0</v>
      </c>
      <c r="I66" s="62">
        <f>IF(SUM($B$126:$I$126)&gt; $I$80, $I$80-$B$66-$C$66-$D$66-$E$66-$F$66-$G$66-$H$66,SUM($B$126:$I$126)-$B$66-$C$66-$D$66-$E$66-$F$66-$G$66-$H$66)</f>
        <v>0</v>
      </c>
      <c r="J66" s="62">
        <f>IF(SUM($B$126:$J$126)&gt; $J$80, $J$80-$B$66-$C$66-$D$66-$E$66-$F$66-$G$66-$H$66-$I$66,SUM($B$126:$J$126)-$B$66-$C$66-$D$66-$E$66-$F$66-$G$66-$H$66-$I$66)</f>
        <v>0</v>
      </c>
      <c r="K66" s="62">
        <f>IF(SUM($B$126:$K$126)&gt; $K$80, $K$80-$B$66-$C$66-$D$66-$E$66-$F$66-$G$66-$H$66-$I$66-$J$66,SUM($B$126:$K$126)-$B$66-$C$66-$D$66-$E$66-$F$66-$G$66-$H$66-$I$66-$J$66)</f>
        <v>0</v>
      </c>
      <c r="L66" s="62">
        <f>IF(SUM($B$126:$L$126)&gt; $L$80, $L$80-$B$66-$C$66-$D$66-$E$66-$F$66-$G$66-H$66-$I$66-$J$66-$K$66,SUM($B$126:$L$126)-$B$66-$C$66-$D$66-$E$66-$F$66-$G$66-$H$66-$I$66-$J$66-$K$66)</f>
        <v>0</v>
      </c>
      <c r="M66" s="62">
        <f>IF(SUM($B$126:$M$126)&gt; $M$80, $M$80-$B$66-$C$66-$D$66-$E$66-$F$66-$G$66-$H$66-$I$66-$J$66-$K$66-$L$66,SUM($B$126:$M$126)-$B$66-$C$66-$D$66-$E$66-$F$66-$G$66-$H$66-$I$66-$J$66-$K$66-$L$66)</f>
        <v>0</v>
      </c>
      <c r="N66" s="4"/>
      <c r="O66" s="9"/>
      <c r="P66" s="12"/>
      <c r="Q66" s="4"/>
      <c r="R66" s="4"/>
      <c r="S66" s="4"/>
    </row>
    <row r="67" spans="1:19" x14ac:dyDescent="0.35">
      <c r="A67" s="45" t="s">
        <v>51</v>
      </c>
      <c r="B67" s="62">
        <f>IF($B$127&gt;$B$80,$B$80,$B$127)</f>
        <v>0</v>
      </c>
      <c r="C67" s="62">
        <f>IF(SUM($B$127:$C$127)&gt; $C$80, $C$80-$B$67,SUM($B$127:$C$127)-$B$67)</f>
        <v>0</v>
      </c>
      <c r="D67" s="62">
        <f>IF(SUM($B$127:$D$127)&gt; $D$80, $D$80-$B$67-$C$67,SUM($B$127:$D$127)-$B$67-$C$67)</f>
        <v>0</v>
      </c>
      <c r="E67" s="62">
        <f>IF(SUM($B$127:$E$127)&gt; $E$80, $E$80-$B$67-$C$67-$D$67,SUM($B$127:$E$127)-$B$67-$C$67-$D$67)</f>
        <v>0</v>
      </c>
      <c r="F67" s="62">
        <f>IF(SUM($B$127:$F$127)&gt; $F$80, $F$80-$B$67-$C$67-$D$67-$E$67,SUM($B$127:$F$127)-$B$67-$C$67-$D$67-$E$67)</f>
        <v>0</v>
      </c>
      <c r="G67" s="62">
        <f>IF(SUM($B$127:$G$127)&gt; $G$80, $G$80-$B$67-$C$67-$D$67-$E$67-$F$67,SUM($B$127:$G$127)-$B$67-$C$67-$D$67-$E$67-$F$67)</f>
        <v>0</v>
      </c>
      <c r="H67" s="62">
        <f>IF(SUM($B$127:$H$127)&gt; $H$80, $H$80-$B$67-$C$67-$D$67-$E$67-$F$67-$G$67,SUM($B$127:$H$127)-$B$67-$C$67-$D$67-$E$67-$F$67-$G$67)</f>
        <v>0</v>
      </c>
      <c r="I67" s="62">
        <f>IF(SUM($B$127:$I$127)&gt; $I$80, $I$80-$B$67-$C$67-$D$67-$E$67-$F$67-$G$67-$H$67,SUM($B$127:$I$127)-$B$67-$C$67-$D$67-$E$67-$F$67-$G$67-$H$67)</f>
        <v>0</v>
      </c>
      <c r="J67" s="62">
        <f>IF(SUM($B$127:$J$127)&gt; $J$80, $J$80-$B$67-$C$67-$D$67-$E$67-$F$67-$G$67-$H$67-$I$67,SUM($B$127:$J$127)-$B$67-$C$67-$D$67-$E$67-$F$67-$G$67-$H$67-$I$67)</f>
        <v>0</v>
      </c>
      <c r="K67" s="62">
        <f>IF(SUM($B$127:$K$127)&gt; $K$80, $K$80-$B$67-$C$67-$D$67-$E$67-$F$67-$G$67-$H$67-$I$67-$J$67,SUM($B$127:$K$127)-$B$67-$C$67-$D$67-$E$67-$F$67-$G$67-$H$67-$I$67-$J$67)</f>
        <v>0</v>
      </c>
      <c r="L67" s="62">
        <f>IF(SUM($B$127:$L$127)&gt; $L$80, $L$80-$B$67-$C$67-$D$67-$E$67-$F$67-$G$67-$H$67-$I$67-$J$67-$K$67,SUM($B$127:$L$127)-$B$67-$C$67-$D$67-$E$67-$F$67-$G$67-$H$67-$I$67-$J$67-$K$67)</f>
        <v>0</v>
      </c>
      <c r="M67" s="62">
        <f>IF(SUM($B$127:$M$127)&gt; $M$80, $M$80-$B$67-$C$67-$D$67-$E$67-$F$67-$G$67-$H$67-I$67-$J$67-$K$67-$L$67,SUM($B$127:$M$127)-$B$67-$C$67-$D$67-$E$67-$F$67-$G$67-$H$67-$I$67-$J$67-$K$67-$L$67)</f>
        <v>0</v>
      </c>
      <c r="N67" s="4"/>
      <c r="O67" s="9"/>
      <c r="P67" s="12"/>
      <c r="Q67" s="4"/>
      <c r="R67" s="4"/>
      <c r="S67" s="4"/>
    </row>
    <row r="68" spans="1:19" x14ac:dyDescent="0.35">
      <c r="A68" s="42" t="s">
        <v>52</v>
      </c>
      <c r="B68" s="62">
        <f>IF($B$128&gt;$B$129,$B$129,$B$128)</f>
        <v>0</v>
      </c>
      <c r="C68" s="62">
        <f>IF(SUM($B$128:$C$128)&gt; $C$129, $C$129-$B$68,SUM($B$128:$C$128)-$B$68)</f>
        <v>0</v>
      </c>
      <c r="D68" s="62">
        <f>IF(SUM($B$128:$D$128)&gt; $D$129, $D$129-$B$68-$C$68,SUM($B$128:$D$128)-$B$68-$C$68)</f>
        <v>0</v>
      </c>
      <c r="E68" s="62">
        <f>IF(SUM($B$128:$E$128)&gt; $E$129, $E$129-$B$68-$C$68-$D$68,SUM($B$128:$E$128)-$B$68-$C$68-$D$68)</f>
        <v>0</v>
      </c>
      <c r="F68" s="62">
        <f>IF(SUM($B$128:$F$128)&gt; $F$129, $F$129-$B$68-$C$68-$D$68-$E$68,SUM($B$128:$F$128)-$B$68-$C$68-$D$68-$E$68)</f>
        <v>0</v>
      </c>
      <c r="G68" s="62">
        <f>IF(SUM($B$128:$G$128)&gt; $G$129, $G$129-$B$68-$C$68-$D$68-$E$68-$F$68,SUM($B$128:$G$128)-$B$68-$C$68-$D$68-$E$68-$F$68)</f>
        <v>0</v>
      </c>
      <c r="H68" s="62">
        <f>IF(SUM($B$128:$H$128)&gt; $H$129, $H$129-$B$68-$C$68-$D$68-$E$68-$F$68-$G$68,SUM($B$128:$H$128)-$B$68-$C$68-$D$68-$E$68-$F$68-$G$68)</f>
        <v>0</v>
      </c>
      <c r="I68" s="62">
        <f>IF(SUM($B$128:$I$128)&gt; $I$129, $I$129-$B$68-$C$68-$D$68-$E$68-$F$68-$G$68-$H$68,SUM($B$128:$I$128)-$B$68-$C$68-$D$68-$E$68-$F$68-$G$68-$H$68)</f>
        <v>0</v>
      </c>
      <c r="J68" s="62">
        <f>IF(SUM($B$128:$J$128)&gt; $J$129, $J$129-$B$68-$C$68-$D$68-$E$68-$F$68-$G$68-$H$68-$I$68,SUM($B$128:$J$128)-$B$68-$C$68-$D$68-$E$68-$F$68-$G$68-$H$68-$I$68)</f>
        <v>0</v>
      </c>
      <c r="K68" s="62">
        <f>IF(SUM($B$128:$K$128)&gt; $K$129, $K$129-$B$68-$C$68-$D$68-$E$68-$F$68-$G$68-$H$68-$I$68-$J$68,SUM($B$128:$K$128)-$B$68-$C$68-$D$68-$E$68-$F$68-$G$68-$H$68-$I$68-$J$68)</f>
        <v>0</v>
      </c>
      <c r="L68" s="62">
        <f>IF(SUM($B$128:$L$128)&gt; $L$129, $L$129-$B$68-$C$68-$D$68-$E$68-$F$68-$G$68-$H$68-$I$68-$J$68-$K$68,SUM($B$128:$L$128)-$B$68-$C$68-$D$68-$E$68-$F$68-$G$68-$H$68-$I$68-$J$68-$K$68)</f>
        <v>0</v>
      </c>
      <c r="M68" s="62">
        <f>IF(SUM($B$128:$M$128)&gt; $M$129, $M$129-$B$68-$C$68-$D$68-$E$68-$F$68-$G$68-$H$68-$I$68-$J$68-$K$68-$L$68,SUM($B$128:$M$128)-$B$68-$C$68-$D$68-$E$68-$F$68-$G$68-$H$68-$I$68-$J$68-$K$68-$L$68)</f>
        <v>0</v>
      </c>
      <c r="N68" s="4"/>
      <c r="O68" s="9"/>
      <c r="P68" s="12"/>
      <c r="Q68" s="4"/>
      <c r="R68" s="4"/>
      <c r="S68" s="4"/>
    </row>
    <row r="69" spans="1:19" x14ac:dyDescent="0.35">
      <c r="A69" s="42" t="s">
        <v>53</v>
      </c>
      <c r="B69" s="62">
        <f>IF($B$130&gt;$B$80,$B$80,$B$130)</f>
        <v>0</v>
      </c>
      <c r="C69" s="62">
        <f>IF(SUM($B$130:$C$130)&gt; $C$80, $C$80-$B$69,SUM($B$130:$C$130)-$B$69)</f>
        <v>0</v>
      </c>
      <c r="D69" s="62">
        <f>IF(SUM($B$130:$D$130)&gt; $D$80, $D$80-$B$69-$C$69,SUM($B$130:$D$130)-$B$69-$C$69)</f>
        <v>0</v>
      </c>
      <c r="E69" s="62">
        <f>IF(SUM($B$130:$E$130)&gt; $E$80, $E$80-$B$69-$C$69-$D$69,SUM($B$130:$E$130)-$B$69-$C$69-$D$69)</f>
        <v>0</v>
      </c>
      <c r="F69" s="62">
        <f>IF(SUM($B$130:$F$130)&gt; $F$80, $F$80-$B$69-$C$69-$D$69-$E$69,SUM($B$130:$F$130)-$B$69-$C$69-$D$69-$E$69)</f>
        <v>0</v>
      </c>
      <c r="G69" s="62">
        <f>IF(SUM($B$130:$G$130)&gt; $G$80, $G$80-$B$69-$C$69-$D$69-$E$69-$F$69,SUM($B$130:$G$130)-$B$69-$C$69-$D$69-$E$69-$F$69)</f>
        <v>0</v>
      </c>
      <c r="H69" s="62">
        <f>IF(SUM($B$130:$H$130)&gt; $H$80, $H$80-$B$69-$C$69-$D$69-$E$69-$F$69-$G$69,SUM($B$130:$H$130)-$B$69-$C$69-$D$69-$E$69-$F$69-$G$69)</f>
        <v>0</v>
      </c>
      <c r="I69" s="62">
        <f>IF(SUM($B$130:$I$130)&gt; $I$80, $I$80-$B$69-$C$69-$D$69-$E$69-$F$69-$G$69-$H$69,SUM($B$130:$I$130)-$B$69-$C$69-$D$69-$E$69-$F$69-$G$69-$H$69)</f>
        <v>0</v>
      </c>
      <c r="J69" s="62">
        <f>IF(SUM($B$130:$J$130)&gt; $J$80, $J$80-$B$69-$C$69-$D$69-$E$69-$F$69-$G$69-$H$69-$I$69,SUM($B$130:$J$130)-$B$69-$C$69-$D$69-$E$69-$F$69-$G$69-$H$69-$I$69)</f>
        <v>0</v>
      </c>
      <c r="K69" s="62">
        <f>IF(SUM($B$130:$K$130)&gt; $K$80, $K$80-$B$69-$C$69-$D$69-$E$69-$F$69-$G$69-$H$69-$I$69-$J$69,SUM($B$130:$K$130)-$B$69-$C$69-$D$69-$E$69-$F$69-$G$69-$H$69-$I$69-$J$69)</f>
        <v>0</v>
      </c>
      <c r="L69" s="62">
        <f>IF(SUM($B$130:$L$130)&gt; $L$80, $L$80-$B$69-$C$69-$D$69-$E$69-$F$69-$G$69-$H$69-$I$69-$J$69-$K$69,SUM($B$130:$L$130)-$B$69-$C$69-$D$69-$E$69-$F$69-$G$69-$H$69-$I$69-$J$69-$K$69)</f>
        <v>0</v>
      </c>
      <c r="M69" s="62">
        <f>IF(SUM($B$130:$M$130)&gt; $M$80, M$80-$B$69-$C$69-$D$69-$E$69-$F$69-$G$69-$H$69-$I$69-$J$69-$K$69-$L$69,SUM($B$130:$M$130)-$B$69-$C$69-$D$69-$E$69-$F$69-$G$69-$H$69-$I$69-$J$69-$K$69-$L$69)</f>
        <v>0</v>
      </c>
      <c r="N69" s="4"/>
      <c r="O69" s="9"/>
      <c r="P69" s="12"/>
      <c r="Q69" s="4"/>
      <c r="R69" s="4"/>
      <c r="S69" s="4"/>
    </row>
    <row r="70" spans="1:19" x14ac:dyDescent="0.35">
      <c r="A70" s="42" t="s">
        <v>54</v>
      </c>
      <c r="B70" s="62">
        <f>$B$131</f>
        <v>0</v>
      </c>
      <c r="C70" s="62">
        <f>$C$131</f>
        <v>0</v>
      </c>
      <c r="D70" s="62">
        <f>$D$131</f>
        <v>0</v>
      </c>
      <c r="E70" s="62">
        <f>$E$131</f>
        <v>0</v>
      </c>
      <c r="F70" s="62">
        <f>$F$131</f>
        <v>0</v>
      </c>
      <c r="G70" s="62">
        <f>$G$131</f>
        <v>0</v>
      </c>
      <c r="H70" s="62">
        <f>$H$131</f>
        <v>0</v>
      </c>
      <c r="I70" s="62">
        <f>$I$131</f>
        <v>0</v>
      </c>
      <c r="J70" s="62">
        <f>$J$131</f>
        <v>0</v>
      </c>
      <c r="K70" s="62">
        <f>$K$131</f>
        <v>0</v>
      </c>
      <c r="L70" s="62">
        <f>$L$131</f>
        <v>0</v>
      </c>
      <c r="M70" s="62">
        <f>$M$131</f>
        <v>0</v>
      </c>
      <c r="N70" s="4"/>
      <c r="O70" s="9"/>
      <c r="P70" s="12"/>
      <c r="Q70" s="4"/>
      <c r="R70" s="4"/>
      <c r="S70" s="4"/>
    </row>
    <row r="71" spans="1:19" x14ac:dyDescent="0.35">
      <c r="A71" s="42" t="s">
        <v>145</v>
      </c>
      <c r="B71" s="62">
        <f>IF($B$42&gt;404062, (B61+B62+B63+B64+B65+B66+B67+B68+B69+B70)/12,0)</f>
        <v>0</v>
      </c>
      <c r="C71" s="62">
        <f>IF($C$42&gt;404062,(C61+C62+C63+C64+C65+C66+C67+C68+C69+C70)/12,0)</f>
        <v>0</v>
      </c>
      <c r="D71" s="62">
        <f>IF($D$42&gt;404062,(D61+D62+D63+D64+D65+D66+D67+D68+D69+D70)/12,0)</f>
        <v>0</v>
      </c>
      <c r="E71" s="62">
        <f>IF($E$42&gt;404062,(E61+E62+E63+E64+E65+E66+E67+E68+E69+E70)/12,0)</f>
        <v>0</v>
      </c>
      <c r="F71" s="62">
        <f>IF($F$42&gt;404062,(F61+F62+F63+F64+F65+F66+F67+F68+F69+F70)/12,0)</f>
        <v>0</v>
      </c>
      <c r="G71" s="77"/>
      <c r="H71" s="62">
        <f>IF($H$42&gt;404062,(H61+H62+H63+H64+H65+H66+H67+H68+H69+H70)/12,0)</f>
        <v>0</v>
      </c>
      <c r="I71" s="62">
        <f>IF($I$42&gt;404062,(I61+I62+I63+I64+I65+I66+I67+I68+I69+I70)/12,0)</f>
        <v>0</v>
      </c>
      <c r="J71" s="62">
        <f>IF($J$42&gt;404062,(J61+J62+J63+J64+J65+J66+J67+J68+J69+J70)/12,0)</f>
        <v>0</v>
      </c>
      <c r="K71" s="62">
        <f>IF($K$42&gt;404062,(K61+K62+K63+K64+K65+K66+K67+K68+K69+K70)/12,0)</f>
        <v>0</v>
      </c>
      <c r="L71" s="62">
        <f>IF($L$42&gt;404062,(L61+L62+L63+L64+L65+L66+L67+L68+L69+L70)/12,0)</f>
        <v>0</v>
      </c>
      <c r="M71" s="63"/>
      <c r="N71" s="4"/>
      <c r="O71" s="9"/>
      <c r="P71" s="12"/>
      <c r="Q71" s="4"/>
      <c r="R71" s="4"/>
      <c r="S71" s="4"/>
    </row>
    <row r="72" spans="1:19" x14ac:dyDescent="0.35">
      <c r="A72" s="42" t="s">
        <v>146</v>
      </c>
      <c r="B72" s="63"/>
      <c r="C72" s="63"/>
      <c r="D72" s="63"/>
      <c r="E72" s="63"/>
      <c r="F72" s="63"/>
      <c r="G72" s="62">
        <f>+$G$58*($C$158+$C$159+$C$160)</f>
        <v>0</v>
      </c>
      <c r="H72" s="63"/>
      <c r="I72" s="63"/>
      <c r="J72" s="63"/>
      <c r="K72" s="63"/>
      <c r="L72" s="63"/>
      <c r="M72" s="62">
        <f>+$M$58*($C$158+$C$159+$C$160)</f>
        <v>0</v>
      </c>
      <c r="N72" s="4"/>
      <c r="O72" s="9"/>
      <c r="P72" s="12"/>
      <c r="Q72" s="4"/>
      <c r="R72" s="4"/>
      <c r="S72" s="4"/>
    </row>
    <row r="73" spans="1:19" x14ac:dyDescent="0.35">
      <c r="A73" s="21" t="s">
        <v>55</v>
      </c>
      <c r="B73" s="76">
        <f>SUM(B61:B72)</f>
        <v>0</v>
      </c>
      <c r="C73" s="76">
        <f t="shared" ref="C73:M73" si="12">SUM(C61:C72)</f>
        <v>0</v>
      </c>
      <c r="D73" s="76">
        <f t="shared" si="12"/>
        <v>0</v>
      </c>
      <c r="E73" s="76">
        <f t="shared" si="12"/>
        <v>0</v>
      </c>
      <c r="F73" s="76">
        <f t="shared" si="12"/>
        <v>0</v>
      </c>
      <c r="G73" s="76">
        <f t="shared" si="12"/>
        <v>0</v>
      </c>
      <c r="H73" s="76">
        <f t="shared" si="12"/>
        <v>0</v>
      </c>
      <c r="I73" s="76">
        <f t="shared" si="12"/>
        <v>0</v>
      </c>
      <c r="J73" s="76">
        <f t="shared" si="12"/>
        <v>0</v>
      </c>
      <c r="K73" s="76">
        <f t="shared" si="12"/>
        <v>0</v>
      </c>
      <c r="L73" s="76">
        <f t="shared" si="12"/>
        <v>0</v>
      </c>
      <c r="M73" s="76">
        <f t="shared" si="12"/>
        <v>0</v>
      </c>
      <c r="N73" s="4"/>
      <c r="O73" s="9"/>
      <c r="P73" s="12"/>
      <c r="Q73" s="4"/>
      <c r="R73" s="4"/>
      <c r="S73" s="4"/>
    </row>
    <row r="74" spans="1:19" x14ac:dyDescent="0.35">
      <c r="A74" s="26" t="s">
        <v>141</v>
      </c>
      <c r="B74" s="68">
        <f>$B$59-$B$73</f>
        <v>0</v>
      </c>
      <c r="C74" s="68">
        <f>$C$59-$C$73</f>
        <v>0</v>
      </c>
      <c r="D74" s="68">
        <f>$D$59-$D$73</f>
        <v>0</v>
      </c>
      <c r="E74" s="68">
        <f>$E$59-$E$73</f>
        <v>0</v>
      </c>
      <c r="F74" s="68">
        <f>$F$59-$F$73</f>
        <v>0</v>
      </c>
      <c r="G74" s="68">
        <f>$G$59-$G$73</f>
        <v>0</v>
      </c>
      <c r="H74" s="68">
        <f>$H$59-$H$73</f>
        <v>0</v>
      </c>
      <c r="I74" s="68">
        <f>$I$59-$I$73</f>
        <v>0</v>
      </c>
      <c r="J74" s="68">
        <f>$J$59-$J$73</f>
        <v>0</v>
      </c>
      <c r="K74" s="68">
        <f>$K$59-$K$73</f>
        <v>0</v>
      </c>
      <c r="L74" s="68">
        <f>$L$59-$L$73</f>
        <v>0</v>
      </c>
      <c r="M74" s="68">
        <f>$M$59-$M$73</f>
        <v>0</v>
      </c>
      <c r="N74" s="4"/>
      <c r="O74" s="9"/>
      <c r="P74" s="12"/>
      <c r="Q74" s="4"/>
      <c r="R74" s="4"/>
      <c r="S74" s="4"/>
    </row>
    <row r="75" spans="1:19" x14ac:dyDescent="0.35">
      <c r="A75" s="24" t="s">
        <v>142</v>
      </c>
      <c r="B75" s="78">
        <f>+$B$74</f>
        <v>0</v>
      </c>
      <c r="C75" s="78">
        <f>+$C$74+$B$75</f>
        <v>0</v>
      </c>
      <c r="D75" s="78">
        <f>+$D$74+$C$75</f>
        <v>0</v>
      </c>
      <c r="E75" s="78">
        <f>+$E$74+$D$75</f>
        <v>0</v>
      </c>
      <c r="F75" s="78">
        <f>+$F$74+$E$75</f>
        <v>0</v>
      </c>
      <c r="G75" s="78">
        <f>+$G$74+$F$75</f>
        <v>0</v>
      </c>
      <c r="H75" s="78">
        <f>+$H$74+$G$75</f>
        <v>0</v>
      </c>
      <c r="I75" s="78">
        <f>+$I$74+$H$75</f>
        <v>0</v>
      </c>
      <c r="J75" s="78">
        <f>+$J$74+$I$75</f>
        <v>0</v>
      </c>
      <c r="K75" s="78">
        <f>+$K$74+$J$75</f>
        <v>0</v>
      </c>
      <c r="L75" s="78">
        <f>+$L$74+$K$75</f>
        <v>0</v>
      </c>
      <c r="M75" s="78">
        <f>+$M$74+$L$75</f>
        <v>0</v>
      </c>
      <c r="N75" s="12"/>
      <c r="O75" s="4"/>
      <c r="P75" s="4"/>
      <c r="Q75" s="4"/>
      <c r="R75" s="4"/>
      <c r="S75" s="4"/>
    </row>
    <row r="76" spans="1:19" x14ac:dyDescent="0.35">
      <c r="A76" s="8" t="s">
        <v>56</v>
      </c>
      <c r="B76" s="61">
        <f>IF(($B$75*0.05)&gt;$B$132,$B$132,($B$75*0.05))</f>
        <v>0</v>
      </c>
      <c r="C76" s="61">
        <f>IF(SUM($B$132:$C$132)&gt;$C$139,$C$139-$B$76,SUM($B$132:$C$132)-$B$76)</f>
        <v>0</v>
      </c>
      <c r="D76" s="61">
        <f>IF(SUM($B$132:$D$132)&gt;$D$139,$D$139-$B$76-$C$76,SUM($B$132:$D$132)-$B$76-$C$76)</f>
        <v>0</v>
      </c>
      <c r="E76" s="61">
        <f>IF(SUM($B$132:$E$132)&gt;$E$139,$E$139-$B$76-$C$76-$D$76,SUM($B$132:$E$132)-$B$76-$C$76-$D$76)</f>
        <v>0</v>
      </c>
      <c r="F76" s="61">
        <f>IF(SUM($B$132:$F$132)&gt;$F$139,$F$139-$B$76-$C$76-$D$76-$E$76,SUM($B$132:$F$132)-$B$76-$C$76-$D$76-$E$76)</f>
        <v>0</v>
      </c>
      <c r="G76" s="61">
        <f>IF(SUM($B$132:$G$132)&gt;$G$139,$G$139-$B$76-$C$76-$D$76-$E$76-$F$76,SUM($B$132:$G$132)-$B$76-$C$76-$D$76-$E$76-$F$76)</f>
        <v>0</v>
      </c>
      <c r="H76" s="61">
        <f>IF(SUM($B$132:$H$132)&gt;$H$139,$H$139-$B$76-$C$76-$D$76-$E$76-$F$76-$G$76,SUM($B$132:$H$132)-$B$76-$C$76-$D$76-$E$76-$F$76-$G$76)</f>
        <v>0</v>
      </c>
      <c r="I76" s="61">
        <f>IF(SUM($B$132:$I$132)&gt;$I$139,$I$139-$B$76-$C$76-$D$76-$E$76-$F$76-$G$76-$H$76,SUM($B$132:$I$132)-$B$76-$C$76-$D$76-$E$76-$F$76-$G$76-$H$76)</f>
        <v>0</v>
      </c>
      <c r="J76" s="61">
        <f>IF(SUM($B$132:$J$132)&gt;$J$139,$J$139-$B$76-$C$76-$D$76-$E$76-$F$76-$G$76-$H$76-$I$76,SUM($B$132:$J$132)-$B$76-$C$76-$D$76-$E$76-$F$76-$G$76-$H$76-$I$76)</f>
        <v>0</v>
      </c>
      <c r="K76" s="61">
        <f>IF(SUM($B$132:$K$132)&gt;$K$139,$K$139-$B$76-$C$76-$D$76-$E$76-$F$76-$G$76-$H$76-$I$76-$J$76,SUM($B$132:$K$132)-$B$76-$C$76-$D$76-$E$76-$F$76-$G$76-$H$76-$I$76-$J$76)</f>
        <v>0</v>
      </c>
      <c r="L76" s="61">
        <f>IF(SUM($B$132:$L$132)&gt;$L$139,$L$139-$B$76-$C$76-$D$76-$E$76-$F$76-$G$76-$H$76-$I$76-$J$76-$K$76,SUM($B$132:$L$132)-$B$76-$C$76-$D$76-$E$76-$F$76-$G$76-$H$76-$I$76-$J$76-$K$76)</f>
        <v>0</v>
      </c>
      <c r="M76" s="61">
        <f>IF(SUM($B$132:$M$132)&gt;$M$139,$M$139-$B$76-$C$76-$D$76-$E$76-$F$76-$G$76-$H$76-$I$76-$J$76-$K$76-$L$76,SUM($B$132:$M$132)-$B$76-$C$76-$D$76-$E$76-$F$76-$G$76-$H$76-$I$76-$J$76-$K$76-$L$76)</f>
        <v>0</v>
      </c>
      <c r="N76" s="12"/>
      <c r="O76" s="4"/>
      <c r="P76" s="4"/>
      <c r="Q76" s="4"/>
      <c r="R76" s="4"/>
      <c r="S76" s="4"/>
    </row>
    <row r="77" spans="1:19" ht="15.75" customHeight="1" x14ac:dyDescent="0.35">
      <c r="A77" s="8" t="s">
        <v>57</v>
      </c>
      <c r="B77" s="61">
        <f>IF($B$139&gt;$B$133,$B$133,$B$139)</f>
        <v>0</v>
      </c>
      <c r="C77" s="61">
        <f>IF(SUM($B$133:$C$133)&gt;$C$139,$C$139-$B$77,SUM($B$133:$C$133)-$B$77)</f>
        <v>0</v>
      </c>
      <c r="D77" s="61">
        <f>IF(SUM($B$133:$D$133)&gt;$D$139,$D$139-$B$77-$C$77,SUM($B$133:$D$133)-$B$77-$C$77)</f>
        <v>0</v>
      </c>
      <c r="E77" s="61">
        <f>IF(SUM($B$133:$E$133)&gt;$E$139,$E$139-$B$77-$C$77-$D$77,SUM($B$133:$E$133)-$B$77-$C$77-$D$77)</f>
        <v>0</v>
      </c>
      <c r="F77" s="61">
        <f>IF(SUM($B$133:$F$133)&gt;$F$139,$F$139-$B$77-$C$77-$D$77-$E$77,SUM($B$133:$F$133)-$B$77-$C$77-$D$77-$E$77)</f>
        <v>0</v>
      </c>
      <c r="G77" s="61">
        <f>IF(SUM($B$133:$G$133)&gt;$G$139,$G$139-$B$77-$C$77-$D$77-$E$77-$F$77,SUM($B$133:$G$133)-$B$77-$C$77-$D$77-$E$77-$F$77)</f>
        <v>0</v>
      </c>
      <c r="H77" s="61">
        <f>IF(SUM($B$133:$H$133)&gt;$H$139,$H$139-$B$77-$C$77-$D$77-$E$77-$F$77-$G$77,SUM($B$133:$H$133)-$B$77-$C$77-$D$77-$E$77-$F$77-$G$77)</f>
        <v>0</v>
      </c>
      <c r="I77" s="61">
        <f>IF(SUM($B$133:$I$133)&gt;$I$139,$I$139-$B$77-$C$77-$D$77-$E$77-$F$77-$G$77-$H$77,SUM($B$133:$I$133)-$B$77-$C$77-$D$77-$E$77-$F$77-$G$77-$H$77)</f>
        <v>0</v>
      </c>
      <c r="J77" s="61">
        <f>IF(SUM($B$133:$J$133)&gt;$J$139,$J$139-$B$77-$C$77-$D$77-$E$77-$F$77-$G$77-$H$77-$I$77,SUM($B$133:$J$133)-$B$77-$C$77-$D$77-$E$77-$F$77-$G$77-$H$77-$I$77)</f>
        <v>0</v>
      </c>
      <c r="K77" s="61">
        <f>IF(SUM($B$133:$K$133)&gt;$K$139,$K$139-$B$77-$C$77-$D$77-$E$77-$F$77-$G$77-$H$77-$I$77-$J$77,SUM($B$133:$K$133)-$B$77-$C$77-$D$77-$E$77-$F$77-$G$77-$H$77-$I$77-$J$77)</f>
        <v>0</v>
      </c>
      <c r="L77" s="61">
        <f>IF(SUM($B$133:$L$133)&gt;$L$139,$L$139-$B$77-$C$77-$D$77-$E$77-$F$77-$G$77-$H$77-$I$77-$J$77-$K$77,SUM($B$133:$L$133)-$B$77-$C$77-$D$77-$E$77-$F$77-$G$77-$H$77-$I$77-$J$77-$K$77)</f>
        <v>0</v>
      </c>
      <c r="M77" s="61">
        <f>IF(SUM($B$133:$M$133)&gt;$M$139,$M$139-$B$77-$C$77-$D$77-$E$77-$F$77-$G$77-$H$77-$I$77-$J$77-$K$77-$L$77,SUM($B$133:$M$133)-$B$77-$C$77-$D$77-$E$77-$F$77-$G$77-$H$77-$I$77-$J$77-$K$77-$L$77)</f>
        <v>0</v>
      </c>
      <c r="N77" s="12"/>
      <c r="O77" s="4"/>
      <c r="P77" s="4"/>
      <c r="Q77" s="4"/>
      <c r="R77" s="4"/>
      <c r="S77" s="4"/>
    </row>
    <row r="78" spans="1:19" ht="15.75" customHeight="1" x14ac:dyDescent="0.35">
      <c r="A78" s="47" t="s">
        <v>58</v>
      </c>
      <c r="B78" s="79">
        <f>SUM($B$76:$B$77)</f>
        <v>0</v>
      </c>
      <c r="C78" s="79">
        <f>SUM($C$76:$C$77)</f>
        <v>0</v>
      </c>
      <c r="D78" s="79">
        <f>SUM($D$76:$D$77)</f>
        <v>0</v>
      </c>
      <c r="E78" s="79">
        <f>SUM($E$76:$E$77)</f>
        <v>0</v>
      </c>
      <c r="F78" s="79">
        <f>SUM($F$76:$F$77)</f>
        <v>0</v>
      </c>
      <c r="G78" s="79">
        <f>SUM($G$76:$G$77)</f>
        <v>0</v>
      </c>
      <c r="H78" s="79">
        <f>SUM($H$76:$H$77)</f>
        <v>0</v>
      </c>
      <c r="I78" s="79">
        <f>SUM($I$76:$I$77)</f>
        <v>0</v>
      </c>
      <c r="J78" s="79">
        <f>SUM($J$76:$J$77)</f>
        <v>0</v>
      </c>
      <c r="K78" s="79">
        <f>SUM($K$76:$K$77)</f>
        <v>0</v>
      </c>
      <c r="L78" s="79">
        <f>SUM($L$76:$L$77)</f>
        <v>0</v>
      </c>
      <c r="M78" s="79">
        <f>SUM($M$76:$M$77)</f>
        <v>0</v>
      </c>
      <c r="N78" s="12"/>
      <c r="O78" s="4"/>
      <c r="P78" s="4"/>
      <c r="Q78" s="4"/>
      <c r="R78" s="4"/>
      <c r="S78" s="4"/>
    </row>
    <row r="79" spans="1:19" x14ac:dyDescent="0.35">
      <c r="A79" s="21" t="s">
        <v>59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4"/>
      <c r="O79" s="9"/>
      <c r="P79" s="12"/>
      <c r="Q79" s="4"/>
      <c r="R79" s="4"/>
      <c r="S79" s="4"/>
    </row>
    <row r="80" spans="1:19" x14ac:dyDescent="0.35">
      <c r="A80" s="8" t="s">
        <v>60</v>
      </c>
      <c r="B80" s="99">
        <v>37640.269999999997</v>
      </c>
      <c r="C80" s="99">
        <v>75280.53</v>
      </c>
      <c r="D80" s="61">
        <v>112920.8</v>
      </c>
      <c r="E80" s="61">
        <v>150561.06</v>
      </c>
      <c r="F80" s="61">
        <v>188201.33</v>
      </c>
      <c r="G80" s="61">
        <v>225841.6</v>
      </c>
      <c r="H80" s="61">
        <v>263481.86</v>
      </c>
      <c r="I80" s="61">
        <v>301122.13</v>
      </c>
      <c r="J80" s="61">
        <v>338762.4</v>
      </c>
      <c r="K80" s="61">
        <v>376402.66</v>
      </c>
      <c r="L80" s="61">
        <v>414042.93</v>
      </c>
      <c r="M80" s="61">
        <v>451683.19</v>
      </c>
      <c r="N80" s="4"/>
      <c r="O80" s="4"/>
      <c r="P80" s="4"/>
      <c r="Q80" s="4"/>
      <c r="R80" s="4"/>
      <c r="S80" s="4"/>
    </row>
    <row r="81" spans="1:19" x14ac:dyDescent="0.35">
      <c r="A81" s="8" t="s">
        <v>61</v>
      </c>
      <c r="B81" s="61">
        <f>$D$102*$B$119</f>
        <v>0</v>
      </c>
      <c r="C81" s="61">
        <f>$D$102*$C$119</f>
        <v>0</v>
      </c>
      <c r="D81" s="61">
        <f>$D$102*$D$119</f>
        <v>0</v>
      </c>
      <c r="E81" s="61">
        <f>$D$102*$E$119</f>
        <v>0</v>
      </c>
      <c r="F81" s="61">
        <f>$D$102*$F$119</f>
        <v>0</v>
      </c>
      <c r="G81" s="61">
        <f>$D$102*$G$119</f>
        <v>0</v>
      </c>
      <c r="H81" s="61">
        <f>$D$102*$H$119</f>
        <v>0</v>
      </c>
      <c r="I81" s="61">
        <f>$D$102*$I$119</f>
        <v>0</v>
      </c>
      <c r="J81" s="61">
        <f>$D$102*$J$119</f>
        <v>0</v>
      </c>
      <c r="K81" s="61">
        <f>$D$102*$K$119</f>
        <v>0</v>
      </c>
      <c r="L81" s="61">
        <f>$D$102*$L$119</f>
        <v>0</v>
      </c>
      <c r="M81" s="61">
        <f>$D$102*$M$119</f>
        <v>0</v>
      </c>
      <c r="N81" s="4"/>
      <c r="O81" s="4"/>
      <c r="P81" s="4"/>
      <c r="Q81" s="4"/>
      <c r="R81" s="4"/>
      <c r="S81" s="4"/>
    </row>
    <row r="82" spans="1:19" x14ac:dyDescent="0.35">
      <c r="A82" s="8" t="s">
        <v>62</v>
      </c>
      <c r="B82" s="61">
        <f>$E$103*$B$120</f>
        <v>0</v>
      </c>
      <c r="C82" s="61">
        <f>$E$103*$C$120</f>
        <v>0</v>
      </c>
      <c r="D82" s="61">
        <f>$E$103*$D$120</f>
        <v>0</v>
      </c>
      <c r="E82" s="61">
        <f>$E$103*$E$120</f>
        <v>0</v>
      </c>
      <c r="F82" s="61">
        <f>$E$103*$F$120</f>
        <v>0</v>
      </c>
      <c r="G82" s="61">
        <f>$E$103*$G$120</f>
        <v>0</v>
      </c>
      <c r="H82" s="61">
        <f>$E$103*$H$120</f>
        <v>0</v>
      </c>
      <c r="I82" s="61">
        <f>$E$103*$I$120</f>
        <v>0</v>
      </c>
      <c r="J82" s="61">
        <f>$E$103*$J$120</f>
        <v>0</v>
      </c>
      <c r="K82" s="61">
        <f>$E$103*$K$120</f>
        <v>0</v>
      </c>
      <c r="L82" s="61">
        <f>$E$103*$L$120</f>
        <v>0</v>
      </c>
      <c r="M82" s="61">
        <f>$E$103*$M$120</f>
        <v>0</v>
      </c>
      <c r="N82" s="4"/>
      <c r="O82" s="4"/>
      <c r="P82" s="4"/>
      <c r="Q82" s="4"/>
      <c r="R82" s="4"/>
      <c r="S82" s="4"/>
    </row>
    <row r="83" spans="1:19" x14ac:dyDescent="0.35">
      <c r="A83" s="8" t="s">
        <v>63</v>
      </c>
      <c r="B83" s="61">
        <f>$E$110*$B$121</f>
        <v>0</v>
      </c>
      <c r="C83" s="61">
        <f>$E$110*$C$121</f>
        <v>0</v>
      </c>
      <c r="D83" s="61">
        <f>$E$110*$D$121</f>
        <v>0</v>
      </c>
      <c r="E83" s="61">
        <f>$E$110*$E$121</f>
        <v>0</v>
      </c>
      <c r="F83" s="61">
        <f>$E$110*$F$121</f>
        <v>0</v>
      </c>
      <c r="G83" s="61">
        <f>$E$110*$G$121</f>
        <v>0</v>
      </c>
      <c r="H83" s="61">
        <f>$E$110*$H$121</f>
        <v>0</v>
      </c>
      <c r="I83" s="61">
        <f>$E$110*$I$121</f>
        <v>0</v>
      </c>
      <c r="J83" s="61">
        <f>$E$110*$J$121</f>
        <v>0</v>
      </c>
      <c r="K83" s="61">
        <f>$E$110*$K$121</f>
        <v>0</v>
      </c>
      <c r="L83" s="61">
        <f>$E$110*$L$121</f>
        <v>0</v>
      </c>
      <c r="M83" s="61">
        <f>$E$110*$M$121</f>
        <v>0</v>
      </c>
      <c r="N83" s="4"/>
      <c r="O83" s="4"/>
      <c r="P83" s="4"/>
      <c r="Q83" s="4"/>
      <c r="R83" s="4"/>
      <c r="S83" s="4"/>
    </row>
    <row r="84" spans="1:19" x14ac:dyDescent="0.35">
      <c r="A84" s="8" t="s">
        <v>64</v>
      </c>
      <c r="B84" s="61">
        <v>180673.28</v>
      </c>
      <c r="C84" s="61">
        <v>361346.56</v>
      </c>
      <c r="D84" s="61">
        <v>542019.83999999997</v>
      </c>
      <c r="E84" s="61">
        <v>722693.12</v>
      </c>
      <c r="F84" s="61">
        <v>903366.39</v>
      </c>
      <c r="G84" s="61">
        <v>1084039.67</v>
      </c>
      <c r="H84" s="61">
        <v>1264712.95</v>
      </c>
      <c r="I84" s="61">
        <v>1445386.23</v>
      </c>
      <c r="J84" s="61">
        <v>1626059.51</v>
      </c>
      <c r="K84" s="61">
        <v>1806732.79</v>
      </c>
      <c r="L84" s="61">
        <v>1987406.07</v>
      </c>
      <c r="M84" s="61">
        <v>2168079.35</v>
      </c>
      <c r="N84" s="4"/>
      <c r="O84" s="4"/>
      <c r="P84" s="4"/>
      <c r="Q84" s="4"/>
      <c r="R84" s="4"/>
      <c r="S84" s="4"/>
    </row>
    <row r="85" spans="1:19" x14ac:dyDescent="0.35">
      <c r="A85" s="44" t="s">
        <v>65</v>
      </c>
      <c r="B85" s="103">
        <f>IF($B$44&gt;404062,0,IF($B$142&gt;0,$B$142,0))</f>
        <v>0</v>
      </c>
      <c r="C85" s="103">
        <f>IF($C$44&gt;404062,0,IF($C$142&gt;0,$C$142,0))</f>
        <v>0</v>
      </c>
      <c r="D85" s="103">
        <f>IF($D$44&gt;404062,0,IF($D$142&gt;0,$D$142,0))</f>
        <v>0</v>
      </c>
      <c r="E85" s="103">
        <f>IF($E$44&gt;404062,0,IF($E$142&gt;0,$E$142,0))</f>
        <v>0</v>
      </c>
      <c r="F85" s="103">
        <f>IF($F$44&gt;404062,0,IF($F$142&gt;0,$F$142,0))</f>
        <v>0</v>
      </c>
      <c r="G85" s="103">
        <f>IF($G$44&gt;404062,0,IF($G$142&gt;0,IF($G$58&lt;0,$G$142,$G$142-($G$58*$C$161)),0))</f>
        <v>0</v>
      </c>
      <c r="H85" s="103">
        <f>IF($H$44&gt;404062,0,IF($H$142&gt;0, $H$142,0))</f>
        <v>0</v>
      </c>
      <c r="I85" s="103">
        <f>IF($I$44&gt;404062,0,IF($I$142&gt;0, $I$142,0))</f>
        <v>0</v>
      </c>
      <c r="J85" s="103">
        <f>IF($J$44&gt;404062,0,IF($J$142&gt;0, $J$142,0))</f>
        <v>0</v>
      </c>
      <c r="K85" s="103">
        <f>IF($K$44&gt;404062,0,IF($K$142&gt;0,$K$142,0))</f>
        <v>0</v>
      </c>
      <c r="L85" s="103">
        <f>IF($L$44&gt;404062,0,IF($L$142&gt;0,$L$142,0))</f>
        <v>0</v>
      </c>
      <c r="M85" s="103">
        <f>IF($M$44&gt;404062,0,IF($M$142&gt;0,IF($M$58&lt;0,$M$142,$M$142-($M$58*$C$161)),0))</f>
        <v>0</v>
      </c>
      <c r="N85" s="4"/>
      <c r="O85" s="4"/>
      <c r="P85" s="4"/>
      <c r="Q85" s="4"/>
      <c r="R85" s="4"/>
      <c r="S85" s="4"/>
    </row>
    <row r="86" spans="1:19" x14ac:dyDescent="0.35">
      <c r="A86" s="49" t="s">
        <v>66</v>
      </c>
      <c r="B86" s="80">
        <f>$B$85</f>
        <v>0</v>
      </c>
      <c r="C86" s="80">
        <f>$B$86+$C$85</f>
        <v>0</v>
      </c>
      <c r="D86" s="80">
        <f>$C$86+$D$85</f>
        <v>0</v>
      </c>
      <c r="E86" s="80">
        <f>$D$86+$E$85</f>
        <v>0</v>
      </c>
      <c r="F86" s="80">
        <f>$E$86+$F$85</f>
        <v>0</v>
      </c>
      <c r="G86" s="80">
        <f>$F$86+$G$85</f>
        <v>0</v>
      </c>
      <c r="H86" s="80">
        <f>$G$86+$H$85</f>
        <v>0</v>
      </c>
      <c r="I86" s="80">
        <f>$H$86+$I$85</f>
        <v>0</v>
      </c>
      <c r="J86" s="80">
        <f>$I$86+$J$85</f>
        <v>0</v>
      </c>
      <c r="K86" s="80">
        <f>$J$86+$K$85</f>
        <v>0</v>
      </c>
      <c r="L86" s="80">
        <f>$K$86+$L$85</f>
        <v>0</v>
      </c>
      <c r="M86" s="80">
        <f>$L$86+$M$85</f>
        <v>0</v>
      </c>
      <c r="N86" s="4"/>
      <c r="O86" s="4"/>
      <c r="P86" s="4"/>
      <c r="Q86" s="4"/>
      <c r="R86" s="4"/>
      <c r="S86" s="4"/>
    </row>
    <row r="87" spans="1:19" x14ac:dyDescent="0.35">
      <c r="A87" s="56" t="s">
        <v>67</v>
      </c>
      <c r="B87" s="106">
        <f>IF(AND($B$44&gt;404062, $B$44&lt;466017), VLOOKUP($B$44, AnexoIV!$A$3:$C$233,3,TRUE),0)</f>
        <v>0</v>
      </c>
      <c r="C87" s="106">
        <f>IF(AND($C$44&gt;404062, $C$44&lt;466017), VLOOKUP($C$44, AnexoIV!$A$3:$C$233,3,TRUE),0)</f>
        <v>0</v>
      </c>
      <c r="D87" s="106">
        <f>IF(AND($D$44&gt;404062, $D$44&lt;466017), VLOOKUP($D$44, AnexoIV!$A$3:$C$233,3,TRUE),0)</f>
        <v>0</v>
      </c>
      <c r="E87" s="106">
        <f>IF(AND($E$44&gt;404062, $E$44&lt;466017), VLOOKUP($E$44, AnexoIV!$A$3:$C$233,3,TRUE),0)</f>
        <v>0</v>
      </c>
      <c r="F87" s="106">
        <f>IF(AND($F$44&gt;404062, $F$44&lt;466017), VLOOKUP($F$44, AnexoIV!$A$3:$C$233,3,TRUE),0)</f>
        <v>0</v>
      </c>
      <c r="G87" s="106">
        <f>IF(AND($G$44&gt;404062, $G$44&lt;466017), VLOOKUP($G$44, AnexoIV!$A$3:$C$233,3,TRUE),0)</f>
        <v>0</v>
      </c>
      <c r="H87" s="106">
        <f>IF(AND($H$44&gt;404062, $H$44&lt;466017), VLOOKUP($H$44, AnexoIV!$A$3:$C$233,3,TRUE),0)</f>
        <v>0</v>
      </c>
      <c r="I87" s="106">
        <f>IF(AND($I$44&gt;404062, $I$44&lt;466017), VLOOKUP($I$44, AnexoIV!$A$3:$C$233,3,TRUE),0)</f>
        <v>0</v>
      </c>
      <c r="J87" s="106">
        <f>IF(AND($J$44&gt;404062, $J$44&lt;466017), VLOOKUP($J$44, AnexoIV!$A$3:$C$233,3,TRUE),0)</f>
        <v>0</v>
      </c>
      <c r="K87" s="106">
        <f>IF(AND($K$44&gt;404062, $K$44&lt;466017), VLOOKUP($K$44, AnexoIV!$A$3:$C$233,3,TRUE),0)</f>
        <v>0</v>
      </c>
      <c r="L87" s="106">
        <f>IF(AND($L$44&gt;404062, $L$44&lt;466017), VLOOKUP($L$44, AnexoIV!$A$3:$C$233,3,TRUE),0)</f>
        <v>0</v>
      </c>
      <c r="M87" s="106">
        <f>IF(AND($M$44&gt;404062, $M$44&lt;466017), VLOOKUP($M$44, AnexoIV!$A$3:$C$233,3,TRUE),0)</f>
        <v>0</v>
      </c>
      <c r="N87" s="4"/>
      <c r="P87" s="4"/>
      <c r="Q87" s="4"/>
      <c r="R87" s="4"/>
      <c r="S87" s="4"/>
    </row>
    <row r="88" spans="1:19" x14ac:dyDescent="0.35">
      <c r="A88" s="43" t="s">
        <v>68</v>
      </c>
      <c r="B88" s="72">
        <f>$B$87</f>
        <v>0</v>
      </c>
      <c r="C88" s="72">
        <f>$B$88+$C$87</f>
        <v>0</v>
      </c>
      <c r="D88" s="72">
        <f>$C$88+$D$87</f>
        <v>0</v>
      </c>
      <c r="E88" s="72">
        <f>$D$88+$E$87</f>
        <v>0</v>
      </c>
      <c r="F88" s="72">
        <f>$E$88+$F$87</f>
        <v>0</v>
      </c>
      <c r="G88" s="72">
        <f>$F$88+$G$87</f>
        <v>0</v>
      </c>
      <c r="H88" s="72">
        <f>$G$88+$H$87</f>
        <v>0</v>
      </c>
      <c r="I88" s="72">
        <f>$H$88+$I$87</f>
        <v>0</v>
      </c>
      <c r="J88" s="72">
        <f>$I$88+$J$87</f>
        <v>0</v>
      </c>
      <c r="K88" s="72">
        <f>$J$88+$K$87</f>
        <v>0</v>
      </c>
      <c r="L88" s="72">
        <f>$K$88+$L$87</f>
        <v>0</v>
      </c>
      <c r="M88" s="72">
        <f>$L$88+$M$87</f>
        <v>0</v>
      </c>
      <c r="N88" s="4"/>
      <c r="P88" s="4"/>
      <c r="Q88" s="4"/>
      <c r="R88" s="4"/>
      <c r="S88" s="4"/>
    </row>
    <row r="89" spans="1:19" x14ac:dyDescent="0.35">
      <c r="A89" s="11" t="s">
        <v>69</v>
      </c>
      <c r="B89" s="65">
        <f>$B$80+$B$81+$B$82+$B$83+$B$84+$B$86+$B$88</f>
        <v>218313.55</v>
      </c>
      <c r="C89" s="65">
        <f>$C$80+$C$81+$C$82+$C$83+$C$84+$C$86+$C$88</f>
        <v>436627.08999999997</v>
      </c>
      <c r="D89" s="65">
        <f>$D$80+$D$81+$D$82+$D$83+$D$84+$D$86+$D$88</f>
        <v>654940.64</v>
      </c>
      <c r="E89" s="65">
        <f>$E$80+$E$81+$E$82+$E$83+$E$84+$E$86+$E$88</f>
        <v>873254.17999999993</v>
      </c>
      <c r="F89" s="65">
        <f>$F$80+$F$81+$F$82+$F$83+$F$84+$F$86+$F$88</f>
        <v>1091567.72</v>
      </c>
      <c r="G89" s="65">
        <f>$G$80+$G$81+$G$82+$G$83+$G$84+$G$86+$G$88</f>
        <v>1309881.27</v>
      </c>
      <c r="H89" s="65">
        <f>$H$80+$H$81+$H$82+$H$83+$H$84+$H$86+$H$88</f>
        <v>1528194.81</v>
      </c>
      <c r="I89" s="65">
        <f>$I$80+$I$81+$I$82+$I$83+$I$84+$I$86+$I$88</f>
        <v>1746508.3599999999</v>
      </c>
      <c r="J89" s="65">
        <f>$J$80+$J$81+$J$82+$J$83+$J$84+$J$86+$J$88</f>
        <v>1964821.9100000001</v>
      </c>
      <c r="K89" s="65">
        <f>$K$80+$K$81+$K$82+$K$83+$K$84+$K$86+$K$88</f>
        <v>2183135.4500000002</v>
      </c>
      <c r="L89" s="65">
        <f>$L$80+$L$81+$L$82+$L$83+$L$84+$L$86+$L$88</f>
        <v>2401449</v>
      </c>
      <c r="M89" s="65">
        <f>$M$80+$M$81+$M$82+$M$83+$M$84+$M$86+$M$88</f>
        <v>2619762.54</v>
      </c>
      <c r="N89" s="4"/>
      <c r="O89" s="4"/>
      <c r="P89" s="4"/>
      <c r="Q89" s="4"/>
      <c r="R89" s="4"/>
      <c r="S89" s="4"/>
    </row>
    <row r="90" spans="1:19" x14ac:dyDescent="0.35">
      <c r="A90" s="3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4"/>
      <c r="O90" s="4"/>
      <c r="P90" s="4"/>
      <c r="Q90" s="4"/>
      <c r="R90" s="4"/>
      <c r="S90" s="4"/>
    </row>
    <row r="91" spans="1:19" x14ac:dyDescent="0.35">
      <c r="A91" s="3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4"/>
      <c r="O91" s="4"/>
      <c r="P91" s="4"/>
      <c r="Q91" s="4"/>
      <c r="R91" s="4"/>
      <c r="S91" s="4"/>
    </row>
    <row r="92" spans="1:19" x14ac:dyDescent="0.35">
      <c r="B92" s="7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4"/>
      <c r="O92" s="4"/>
      <c r="P92" s="4"/>
      <c r="Q92" s="4"/>
      <c r="R92" s="4"/>
      <c r="S92" s="4"/>
    </row>
    <row r="93" spans="1:19" hidden="1" x14ac:dyDescent="0.35">
      <c r="A93" s="17" t="s">
        <v>70</v>
      </c>
      <c r="B93" s="82" t="s">
        <v>71</v>
      </c>
      <c r="C93" s="82" t="s">
        <v>72</v>
      </c>
      <c r="D93" s="82" t="s">
        <v>73</v>
      </c>
      <c r="E93" s="82" t="s">
        <v>74</v>
      </c>
      <c r="F93" s="82" t="s">
        <v>75</v>
      </c>
      <c r="G93" s="82" t="s">
        <v>76</v>
      </c>
      <c r="H93" s="82" t="s">
        <v>77</v>
      </c>
      <c r="I93" s="82" t="s">
        <v>78</v>
      </c>
      <c r="J93" s="82" t="s">
        <v>79</v>
      </c>
      <c r="K93" s="82" t="s">
        <v>80</v>
      </c>
      <c r="L93" s="82" t="s">
        <v>81</v>
      </c>
      <c r="M93" s="83" t="s">
        <v>82</v>
      </c>
      <c r="N93" s="4"/>
      <c r="O93" s="4"/>
      <c r="P93" s="4"/>
      <c r="Q93" s="4"/>
      <c r="R93" s="4"/>
      <c r="S93" s="4"/>
    </row>
    <row r="94" spans="1:19" x14ac:dyDescent="0.35">
      <c r="A94" s="16" t="s">
        <v>83</v>
      </c>
      <c r="B94" s="84">
        <f>IF(($B$75-$B$78-$B$89)&gt;0,$B$75-$B$78-$B$89,0)</f>
        <v>0</v>
      </c>
      <c r="C94" s="84">
        <f>IF(($C$75-$C$78-$C$89)&gt;0,$C$75-$C$78-$C$89,0)</f>
        <v>0</v>
      </c>
      <c r="D94" s="84">
        <f>IF(($D$75-$D$78-$D$89)&gt;0,$D$75-$D$78-$D$89,0)</f>
        <v>0</v>
      </c>
      <c r="E94" s="84">
        <f>IF(($E$75-$E$78-$E$89)&gt;0,$E$75-$E$78-$E$89,0)</f>
        <v>0</v>
      </c>
      <c r="F94" s="84">
        <f>IF(($F$75-$F$78-$F$89)&gt;0,$F$75-$F$78-$F$89,0)</f>
        <v>0</v>
      </c>
      <c r="G94" s="84">
        <f>IF(($G$75-$G$78-$G$89)&gt;0,$G$75-$G$78-$G$89,0)</f>
        <v>0</v>
      </c>
      <c r="H94" s="84">
        <f>IF(($H$75-$H$78-$H$89)&gt;0,$H$75-$H$78-$H$89,0)</f>
        <v>0</v>
      </c>
      <c r="I94" s="84">
        <f>IF(($I$75-$I$78-$I$89)&gt;0,$I$75-$I$78-$I$89,0)</f>
        <v>0</v>
      </c>
      <c r="J94" s="84">
        <f>IF(($J$75-$J$78-$J$89)&gt;0,$J$75-$J$78-$J$89,0)</f>
        <v>0</v>
      </c>
      <c r="K94" s="84">
        <f>IF(($K$75-$K$78-$K$89)&gt;0,$K$75-$K$78-$K$89,0)</f>
        <v>0</v>
      </c>
      <c r="L94" s="84">
        <f>IF(($L$75-$L$78-$L$89)&gt;0,$L$75-$L$78-$L$89,0)</f>
        <v>0</v>
      </c>
      <c r="M94" s="84">
        <f>IF(($M$75-$M$78-$M$89)&gt;0,$M$75-$M$78-$M$89,0)</f>
        <v>0</v>
      </c>
      <c r="N94" s="4"/>
      <c r="O94" s="4"/>
      <c r="P94" s="4"/>
      <c r="Q94" s="4"/>
      <c r="R94" s="4"/>
      <c r="S94" s="4"/>
    </row>
    <row r="95" spans="1:19" x14ac:dyDescent="0.35">
      <c r="A95" s="18" t="s">
        <v>84</v>
      </c>
      <c r="B95" s="85">
        <f>'Escala Impuesto 2023 mensual'!D4</f>
        <v>0</v>
      </c>
      <c r="C95" s="85">
        <f>'Escala Impuesto 2023 mensual'!E4</f>
        <v>0</v>
      </c>
      <c r="D95" s="85">
        <f>'Escala Impuesto 2023 mensual'!F4</f>
        <v>0</v>
      </c>
      <c r="E95" s="85">
        <f>'Escala Impuesto 2023 mensual'!G4</f>
        <v>0</v>
      </c>
      <c r="F95" s="85">
        <f>'Escala Impuesto 2023 mensual'!H4</f>
        <v>0</v>
      </c>
      <c r="G95" s="85">
        <f>'Escala Impuesto 2023 mensual'!I4</f>
        <v>0</v>
      </c>
      <c r="H95" s="85">
        <f>'Escala Impuesto 2023 mensual'!J4</f>
        <v>0</v>
      </c>
      <c r="I95" s="85">
        <f>'Escala Impuesto 2023 mensual'!K4</f>
        <v>0</v>
      </c>
      <c r="J95" s="85">
        <f>'Escala Impuesto 2023 mensual'!L4</f>
        <v>0</v>
      </c>
      <c r="K95" s="85">
        <f>'Escala Impuesto 2023 mensual'!M4</f>
        <v>0</v>
      </c>
      <c r="L95" s="85">
        <f>'Escala Impuesto 2023 mensual'!N4</f>
        <v>0</v>
      </c>
      <c r="M95" s="85">
        <f>'Escala Impuesto 2023 mensual'!O4</f>
        <v>0</v>
      </c>
      <c r="N95" s="4"/>
      <c r="O95" s="4"/>
      <c r="P95" s="4"/>
      <c r="Q95" s="4"/>
      <c r="R95" s="4"/>
      <c r="S95" s="4"/>
    </row>
    <row r="96" spans="1:19" x14ac:dyDescent="0.35">
      <c r="A96" s="25" t="s">
        <v>85</v>
      </c>
      <c r="B96" s="127">
        <f>$B$95</f>
        <v>0</v>
      </c>
      <c r="C96" s="127">
        <f>$C$95-$B$95</f>
        <v>0</v>
      </c>
      <c r="D96" s="127">
        <f>$D$95-$C$95</f>
        <v>0</v>
      </c>
      <c r="E96" s="127">
        <f>$E$95-$D$95</f>
        <v>0</v>
      </c>
      <c r="F96" s="127">
        <f>$F$95-$E$95</f>
        <v>0</v>
      </c>
      <c r="G96" s="127">
        <f>$G$95-$F$95</f>
        <v>0</v>
      </c>
      <c r="H96" s="127">
        <f>$H$95-$G$95</f>
        <v>0</v>
      </c>
      <c r="I96" s="127">
        <f>$I$95-$H$95</f>
        <v>0</v>
      </c>
      <c r="J96" s="127">
        <f>$J$95-$I$95</f>
        <v>0</v>
      </c>
      <c r="K96" s="127">
        <f>$K$95-$J$95</f>
        <v>0</v>
      </c>
      <c r="L96" s="127">
        <f>$L$95-$K$95</f>
        <v>0</v>
      </c>
      <c r="M96" s="127">
        <f>$M$95-$L$95</f>
        <v>0</v>
      </c>
    </row>
    <row r="97" spans="1:13" x14ac:dyDescent="0.35">
      <c r="A97" s="38"/>
      <c r="B97" s="39"/>
      <c r="C97" s="39"/>
      <c r="D97" s="39"/>
      <c r="E97" s="39"/>
      <c r="F97" s="39"/>
      <c r="G97" s="39"/>
      <c r="H97" s="39"/>
      <c r="I97" s="105"/>
      <c r="J97" s="39"/>
      <c r="K97" s="39"/>
      <c r="L97" s="39"/>
      <c r="M97" s="39"/>
    </row>
    <row r="98" spans="1:13" x14ac:dyDescent="0.35">
      <c r="G98" s="4"/>
      <c r="I98" s="4"/>
    </row>
    <row r="99" spans="1:13" x14ac:dyDescent="0.35">
      <c r="A99" s="3" t="s">
        <v>86</v>
      </c>
      <c r="G99" s="4"/>
      <c r="I99" s="4"/>
    </row>
    <row r="100" spans="1:13" x14ac:dyDescent="0.35">
      <c r="A100" s="3"/>
      <c r="G100" s="4"/>
      <c r="I100" s="4"/>
    </row>
    <row r="101" spans="1:13" s="30" customFormat="1" ht="58" x14ac:dyDescent="0.35">
      <c r="A101" s="112" t="s">
        <v>87</v>
      </c>
      <c r="B101" s="113"/>
      <c r="C101" s="114" t="s">
        <v>147</v>
      </c>
      <c r="D101" s="113"/>
      <c r="E101" s="113"/>
    </row>
    <row r="102" spans="1:13" s="30" customFormat="1" x14ac:dyDescent="0.35">
      <c r="A102" s="115" t="s">
        <v>157</v>
      </c>
      <c r="B102" s="116">
        <v>0</v>
      </c>
      <c r="C102" s="116">
        <v>12</v>
      </c>
      <c r="D102" s="81">
        <f>+C102/12*B102</f>
        <v>0</v>
      </c>
      <c r="E102" s="117"/>
      <c r="F102" s="31"/>
      <c r="G102" s="31"/>
      <c r="H102" s="31"/>
      <c r="I102" s="31"/>
      <c r="J102" s="31"/>
      <c r="K102" s="31"/>
      <c r="L102" s="31"/>
      <c r="M102" s="31"/>
    </row>
    <row r="103" spans="1:13" s="30" customFormat="1" ht="43.5" x14ac:dyDescent="0.35">
      <c r="A103" s="118" t="s">
        <v>62</v>
      </c>
      <c r="B103" s="119" t="s">
        <v>158</v>
      </c>
      <c r="C103" s="123"/>
      <c r="D103" s="123"/>
      <c r="E103" s="124">
        <f>SUM(E104:E109)</f>
        <v>0</v>
      </c>
      <c r="G103" s="32"/>
      <c r="I103" s="32"/>
    </row>
    <row r="104" spans="1:13" s="30" customFormat="1" x14ac:dyDescent="0.35">
      <c r="A104" s="120" t="s">
        <v>148</v>
      </c>
      <c r="B104" s="121">
        <v>0</v>
      </c>
      <c r="C104" s="122">
        <v>12</v>
      </c>
      <c r="D104" s="125">
        <f t="shared" ref="D104:D113" si="13">+C104/12</f>
        <v>1</v>
      </c>
      <c r="E104" s="125">
        <f>+B104*D104</f>
        <v>0</v>
      </c>
      <c r="G104" s="32"/>
      <c r="I104" s="32"/>
    </row>
    <row r="105" spans="1:13" s="30" customFormat="1" x14ac:dyDescent="0.35">
      <c r="A105" s="120" t="s">
        <v>149</v>
      </c>
      <c r="B105" s="121">
        <v>0</v>
      </c>
      <c r="C105" s="122">
        <v>12</v>
      </c>
      <c r="D105" s="125">
        <f t="shared" si="13"/>
        <v>1</v>
      </c>
      <c r="E105" s="125">
        <f t="shared" ref="E105:E113" si="14">+B105*D105</f>
        <v>0</v>
      </c>
      <c r="G105" s="32"/>
      <c r="I105" s="32"/>
    </row>
    <row r="106" spans="1:13" s="30" customFormat="1" x14ac:dyDescent="0.35">
      <c r="A106" s="120" t="s">
        <v>150</v>
      </c>
      <c r="B106" s="121">
        <v>0</v>
      </c>
      <c r="C106" s="122">
        <v>12</v>
      </c>
      <c r="D106" s="125">
        <f t="shared" si="13"/>
        <v>1</v>
      </c>
      <c r="E106" s="125">
        <f t="shared" si="14"/>
        <v>0</v>
      </c>
      <c r="G106" s="32"/>
      <c r="I106" s="32"/>
    </row>
    <row r="107" spans="1:13" s="30" customFormat="1" x14ac:dyDescent="0.35">
      <c r="A107" s="120" t="s">
        <v>151</v>
      </c>
      <c r="B107" s="121">
        <v>0</v>
      </c>
      <c r="C107" s="122">
        <v>12</v>
      </c>
      <c r="D107" s="125">
        <f t="shared" si="13"/>
        <v>1</v>
      </c>
      <c r="E107" s="125">
        <f t="shared" si="14"/>
        <v>0</v>
      </c>
      <c r="G107" s="32"/>
      <c r="I107" s="32"/>
    </row>
    <row r="108" spans="1:13" s="30" customFormat="1" x14ac:dyDescent="0.35">
      <c r="A108" s="120" t="s">
        <v>152</v>
      </c>
      <c r="B108" s="121">
        <v>0</v>
      </c>
      <c r="C108" s="122">
        <v>12</v>
      </c>
      <c r="D108" s="125">
        <f t="shared" si="13"/>
        <v>1</v>
      </c>
      <c r="E108" s="125">
        <f t="shared" si="14"/>
        <v>0</v>
      </c>
      <c r="G108" s="32"/>
      <c r="I108" s="32"/>
    </row>
    <row r="109" spans="1:13" s="30" customFormat="1" x14ac:dyDescent="0.35">
      <c r="A109" s="120" t="s">
        <v>153</v>
      </c>
      <c r="B109" s="121">
        <v>0</v>
      </c>
      <c r="C109" s="122">
        <v>12</v>
      </c>
      <c r="D109" s="125">
        <f t="shared" si="13"/>
        <v>1</v>
      </c>
      <c r="E109" s="125">
        <f t="shared" si="14"/>
        <v>0</v>
      </c>
      <c r="G109" s="32"/>
      <c r="I109" s="32"/>
    </row>
    <row r="110" spans="1:13" s="30" customFormat="1" ht="43.5" x14ac:dyDescent="0.35">
      <c r="A110" s="118" t="s">
        <v>63</v>
      </c>
      <c r="B110" s="119" t="s">
        <v>158</v>
      </c>
      <c r="C110" s="123"/>
      <c r="D110" s="123"/>
      <c r="E110" s="124">
        <f>SUM(E111:E113)</f>
        <v>0</v>
      </c>
      <c r="G110" s="32"/>
      <c r="I110" s="32"/>
    </row>
    <row r="111" spans="1:13" s="30" customFormat="1" x14ac:dyDescent="0.35">
      <c r="A111" s="120" t="s">
        <v>154</v>
      </c>
      <c r="B111" s="121">
        <v>0</v>
      </c>
      <c r="C111" s="122">
        <v>12</v>
      </c>
      <c r="D111" s="125">
        <f t="shared" si="13"/>
        <v>1</v>
      </c>
      <c r="E111" s="125">
        <f t="shared" si="14"/>
        <v>0</v>
      </c>
      <c r="G111" s="32"/>
      <c r="I111" s="32"/>
    </row>
    <row r="112" spans="1:13" s="30" customFormat="1" x14ac:dyDescent="0.35">
      <c r="A112" s="120" t="s">
        <v>155</v>
      </c>
      <c r="B112" s="121">
        <v>0</v>
      </c>
      <c r="C112" s="122">
        <v>12</v>
      </c>
      <c r="D112" s="125">
        <f t="shared" si="13"/>
        <v>1</v>
      </c>
      <c r="E112" s="125">
        <f t="shared" si="14"/>
        <v>0</v>
      </c>
      <c r="G112" s="32"/>
      <c r="I112" s="32"/>
    </row>
    <row r="113" spans="1:14" s="30" customFormat="1" x14ac:dyDescent="0.35">
      <c r="A113" s="120" t="s">
        <v>156</v>
      </c>
      <c r="B113" s="121">
        <v>0</v>
      </c>
      <c r="C113" s="122">
        <v>12</v>
      </c>
      <c r="D113" s="125">
        <f t="shared" si="13"/>
        <v>1</v>
      </c>
      <c r="E113" s="125">
        <f t="shared" si="14"/>
        <v>0</v>
      </c>
      <c r="G113" s="32"/>
      <c r="I113" s="32"/>
    </row>
    <row r="114" spans="1:14" s="30" customFormat="1" hidden="1" x14ac:dyDescent="0.35">
      <c r="B114" s="111">
        <v>0</v>
      </c>
      <c r="G114" s="32"/>
      <c r="I114" s="32"/>
    </row>
    <row r="115" spans="1:14" s="30" customFormat="1" hidden="1" x14ac:dyDescent="0.35">
      <c r="B115" s="109">
        <v>0.5</v>
      </c>
      <c r="G115" s="32"/>
      <c r="I115" s="32"/>
    </row>
    <row r="116" spans="1:14" hidden="1" x14ac:dyDescent="0.35">
      <c r="A116" s="3"/>
      <c r="B116" s="110">
        <v>1</v>
      </c>
      <c r="G116" s="4"/>
      <c r="I116" s="4"/>
    </row>
    <row r="117" spans="1:14" x14ac:dyDescent="0.35">
      <c r="A117" s="23"/>
      <c r="B117" s="28" t="s">
        <v>2</v>
      </c>
      <c r="C117" s="28" t="s">
        <v>3</v>
      </c>
      <c r="D117" s="28" t="s">
        <v>4</v>
      </c>
      <c r="E117" s="28" t="s">
        <v>5</v>
      </c>
      <c r="F117" s="28" t="s">
        <v>6</v>
      </c>
      <c r="G117" s="28" t="s">
        <v>7</v>
      </c>
      <c r="H117" s="28" t="s">
        <v>8</v>
      </c>
      <c r="I117" s="28" t="s">
        <v>9</v>
      </c>
      <c r="J117" s="28" t="s">
        <v>10</v>
      </c>
      <c r="K117" s="28" t="s">
        <v>11</v>
      </c>
      <c r="L117" s="28" t="s">
        <v>12</v>
      </c>
      <c r="M117" s="28" t="s">
        <v>13</v>
      </c>
    </row>
    <row r="118" spans="1:14" hidden="1" x14ac:dyDescent="0.35">
      <c r="A118" s="3"/>
      <c r="G118" s="4"/>
      <c r="I118" s="4"/>
    </row>
    <row r="119" spans="1:14" hidden="1" x14ac:dyDescent="0.35">
      <c r="A119" s="8" t="s">
        <v>61</v>
      </c>
      <c r="B119" s="100">
        <v>35090.69</v>
      </c>
      <c r="C119" s="100">
        <v>70181.37</v>
      </c>
      <c r="D119" s="100">
        <v>105272.06</v>
      </c>
      <c r="E119" s="100">
        <v>140362.75</v>
      </c>
      <c r="F119" s="100">
        <v>175453.43</v>
      </c>
      <c r="G119" s="100">
        <v>210544.12</v>
      </c>
      <c r="H119" s="100">
        <v>245634.8</v>
      </c>
      <c r="I119" s="100">
        <v>280725.49</v>
      </c>
      <c r="J119" s="100">
        <v>315816.18</v>
      </c>
      <c r="K119" s="100">
        <v>350906.86</v>
      </c>
      <c r="L119" s="100">
        <v>385997.55</v>
      </c>
      <c r="M119" s="100">
        <v>421088.24</v>
      </c>
      <c r="N119" s="9"/>
    </row>
    <row r="120" spans="1:14" hidden="1" x14ac:dyDescent="0.35">
      <c r="A120" s="8" t="s">
        <v>62</v>
      </c>
      <c r="B120" s="100">
        <v>17696.36</v>
      </c>
      <c r="C120" s="100">
        <v>35392.730000000003</v>
      </c>
      <c r="D120" s="100">
        <v>53089.09</v>
      </c>
      <c r="E120" s="100">
        <v>70785.460000000006</v>
      </c>
      <c r="F120" s="100">
        <v>88481.82</v>
      </c>
      <c r="G120" s="100">
        <v>106178.18</v>
      </c>
      <c r="H120" s="100">
        <v>123874.55</v>
      </c>
      <c r="I120" s="100">
        <v>141570.91</v>
      </c>
      <c r="J120" s="100">
        <v>159267.28</v>
      </c>
      <c r="K120" s="100">
        <v>176963.64</v>
      </c>
      <c r="L120" s="100">
        <v>194660</v>
      </c>
      <c r="M120" s="100">
        <v>212356.37</v>
      </c>
      <c r="N120" s="9"/>
    </row>
    <row r="121" spans="1:14" hidden="1" x14ac:dyDescent="0.35">
      <c r="A121" s="8" t="s">
        <v>63</v>
      </c>
      <c r="B121" s="100">
        <v>35392.730000000003</v>
      </c>
      <c r="C121" s="100">
        <f t="shared" ref="C121:M121" si="15">C120*2</f>
        <v>70785.460000000006</v>
      </c>
      <c r="D121" s="100">
        <v>106178.18</v>
      </c>
      <c r="E121" s="100">
        <v>141570.91</v>
      </c>
      <c r="F121" s="100">
        <f t="shared" si="15"/>
        <v>176963.64</v>
      </c>
      <c r="G121" s="100">
        <v>212356.37</v>
      </c>
      <c r="H121" s="100">
        <v>247749.1</v>
      </c>
      <c r="I121" s="100">
        <v>283141.83</v>
      </c>
      <c r="J121" s="100">
        <v>318534.55</v>
      </c>
      <c r="K121" s="100">
        <v>353927.28</v>
      </c>
      <c r="L121" s="100">
        <v>389320.01</v>
      </c>
      <c r="M121" s="100">
        <f t="shared" si="15"/>
        <v>424712.74</v>
      </c>
      <c r="N121" s="9"/>
    </row>
    <row r="122" spans="1:14" hidden="1" x14ac:dyDescent="0.35">
      <c r="G122" s="4"/>
      <c r="I122" s="4"/>
    </row>
    <row r="123" spans="1:14" x14ac:dyDescent="0.35">
      <c r="A123" s="3" t="s">
        <v>37</v>
      </c>
      <c r="G123" s="4"/>
      <c r="I123" s="4"/>
    </row>
    <row r="124" spans="1:14" x14ac:dyDescent="0.35">
      <c r="A124" s="29" t="s">
        <v>88</v>
      </c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4" x14ac:dyDescent="0.35">
      <c r="A125" s="29" t="s">
        <v>89</v>
      </c>
      <c r="B125" s="86">
        <v>0</v>
      </c>
      <c r="C125" s="86">
        <v>0</v>
      </c>
      <c r="D125" s="86">
        <v>0</v>
      </c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1:14" x14ac:dyDescent="0.35">
      <c r="A126" s="33" t="s">
        <v>90</v>
      </c>
      <c r="B126" s="34">
        <f>B125*0.4</f>
        <v>0</v>
      </c>
      <c r="C126" s="34">
        <f t="shared" ref="C126:M126" si="16">C125*0.4</f>
        <v>0</v>
      </c>
      <c r="D126" s="34">
        <f t="shared" si="16"/>
        <v>0</v>
      </c>
      <c r="E126" s="34">
        <f t="shared" si="16"/>
        <v>0</v>
      </c>
      <c r="F126" s="34">
        <f t="shared" si="16"/>
        <v>0</v>
      </c>
      <c r="G126" s="34">
        <f t="shared" si="16"/>
        <v>0</v>
      </c>
      <c r="H126" s="34">
        <f t="shared" si="16"/>
        <v>0</v>
      </c>
      <c r="I126" s="34">
        <f t="shared" si="16"/>
        <v>0</v>
      </c>
      <c r="J126" s="34">
        <f t="shared" si="16"/>
        <v>0</v>
      </c>
      <c r="K126" s="34">
        <f t="shared" si="16"/>
        <v>0</v>
      </c>
      <c r="L126" s="34">
        <f t="shared" si="16"/>
        <v>0</v>
      </c>
      <c r="M126" s="34">
        <f t="shared" si="16"/>
        <v>0</v>
      </c>
      <c r="N126" s="52"/>
    </row>
    <row r="127" spans="1:14" ht="15.75" customHeight="1" x14ac:dyDescent="0.35">
      <c r="A127" s="29" t="s">
        <v>91</v>
      </c>
      <c r="B127" s="86">
        <v>0</v>
      </c>
      <c r="C127" s="86">
        <v>0</v>
      </c>
      <c r="D127" s="86">
        <v>0</v>
      </c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4" ht="15.75" customHeight="1" x14ac:dyDescent="0.35">
      <c r="A128" s="8" t="s">
        <v>92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1:19" ht="15.75" customHeight="1" x14ac:dyDescent="0.35">
      <c r="A129" s="35" t="s">
        <v>93</v>
      </c>
      <c r="B129" s="36">
        <f>$B$80*0.4</f>
        <v>15056.108</v>
      </c>
      <c r="C129" s="36">
        <f>$C$80*0.4</f>
        <v>30112.212</v>
      </c>
      <c r="D129" s="36">
        <f>$D$80*0.4</f>
        <v>45168.320000000007</v>
      </c>
      <c r="E129" s="36">
        <f>$E$80*0.4</f>
        <v>60224.423999999999</v>
      </c>
      <c r="F129" s="36">
        <f>$F$80*0.4</f>
        <v>75280.531999999992</v>
      </c>
      <c r="G129" s="36">
        <f>$G$80*0.4</f>
        <v>90336.640000000014</v>
      </c>
      <c r="H129" s="36">
        <f>$H$80*0.4</f>
        <v>105392.74400000001</v>
      </c>
      <c r="I129" s="36">
        <f>$I$80*0.4</f>
        <v>120448.85200000001</v>
      </c>
      <c r="J129" s="36">
        <f>$J$80*0.4</f>
        <v>135504.96000000002</v>
      </c>
      <c r="K129" s="36">
        <f>$K$80*0.4</f>
        <v>150561.06399999998</v>
      </c>
      <c r="L129" s="36">
        <f>$L$80*0.4</f>
        <v>165617.17200000002</v>
      </c>
      <c r="M129" s="36">
        <f>$M$80*0.4</f>
        <v>180673.27600000001</v>
      </c>
      <c r="N129" s="52"/>
    </row>
    <row r="130" spans="1:19" ht="15.75" customHeight="1" x14ac:dyDescent="0.35">
      <c r="A130" s="8" t="s">
        <v>94</v>
      </c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1:19" ht="15.75" customHeight="1" x14ac:dyDescent="0.35">
      <c r="A131" s="8" t="s">
        <v>54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</row>
    <row r="132" spans="1:19" ht="15.75" customHeight="1" x14ac:dyDescent="0.35">
      <c r="A132" s="8" t="s">
        <v>95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</row>
    <row r="133" spans="1:19" ht="15.75" customHeight="1" x14ac:dyDescent="0.35">
      <c r="A133" s="8" t="s">
        <v>96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1:19" ht="15.75" customHeight="1" x14ac:dyDescent="0.35">
      <c r="A134" s="8" t="s">
        <v>97</v>
      </c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52"/>
    </row>
    <row r="135" spans="1:19" ht="15.75" customHeight="1" x14ac:dyDescent="0.35">
      <c r="A135" s="35"/>
      <c r="B135" s="36">
        <f>$B$134*0.4</f>
        <v>0</v>
      </c>
      <c r="C135" s="36">
        <f>$C$134*0.4</f>
        <v>0</v>
      </c>
      <c r="D135" s="36">
        <f>$D$134*0.4</f>
        <v>0</v>
      </c>
      <c r="E135" s="36">
        <f>$E$134*0.4</f>
        <v>0</v>
      </c>
      <c r="F135" s="36">
        <f>$F$134*0.4</f>
        <v>0</v>
      </c>
      <c r="G135" s="36">
        <f>$G$134*0.4</f>
        <v>0</v>
      </c>
      <c r="H135" s="36">
        <f>$H$134*0.4</f>
        <v>0</v>
      </c>
      <c r="I135" s="36">
        <f>$I$134*0.4</f>
        <v>0</v>
      </c>
      <c r="J135" s="36">
        <f>$J$134*0.4</f>
        <v>0</v>
      </c>
      <c r="K135" s="36">
        <f>$K$134*0.4</f>
        <v>0</v>
      </c>
      <c r="L135" s="36">
        <f>$L$134*0.4</f>
        <v>0</v>
      </c>
      <c r="M135" s="36">
        <f>$M$134*0.4</f>
        <v>0</v>
      </c>
      <c r="N135" s="52"/>
    </row>
    <row r="136" spans="1:19" ht="15.75" customHeight="1" x14ac:dyDescent="0.35">
      <c r="A136" s="8" t="s">
        <v>98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1:19" ht="15.75" customHeight="1" x14ac:dyDescent="0.35">
      <c r="I137" s="4"/>
    </row>
    <row r="138" spans="1:19" ht="15.75" customHeight="1" x14ac:dyDescent="0.35">
      <c r="B138" s="4"/>
      <c r="I138" s="4"/>
    </row>
    <row r="139" spans="1:19" hidden="1" x14ac:dyDescent="0.35">
      <c r="A139" s="49" t="s">
        <v>99</v>
      </c>
      <c r="B139" s="50">
        <f>$B$75*0.05</f>
        <v>0</v>
      </c>
      <c r="C139" s="50">
        <f>$C$75*0.05</f>
        <v>0</v>
      </c>
      <c r="D139" s="50">
        <f>$D$75*0.05</f>
        <v>0</v>
      </c>
      <c r="E139" s="50">
        <f>$E$75*0.05</f>
        <v>0</v>
      </c>
      <c r="F139" s="50">
        <f>$F$75*0.05</f>
        <v>0</v>
      </c>
      <c r="G139" s="50">
        <f>$G$75*0.05</f>
        <v>0</v>
      </c>
      <c r="H139" s="50">
        <f>$H$75*0.05</f>
        <v>0</v>
      </c>
      <c r="I139" s="50">
        <f>$I$75*0.05</f>
        <v>0</v>
      </c>
      <c r="J139" s="50">
        <f>$J$75*0.05</f>
        <v>0</v>
      </c>
      <c r="K139" s="50">
        <f>$K$75*0.05</f>
        <v>0</v>
      </c>
      <c r="L139" s="50">
        <f>$L$75*0.05</f>
        <v>0</v>
      </c>
      <c r="M139" s="50">
        <f>$M$75*0.05</f>
        <v>0</v>
      </c>
    </row>
    <row r="140" spans="1:19" hidden="1" x14ac:dyDescent="0.35">
      <c r="A140" s="104" t="s">
        <v>143</v>
      </c>
      <c r="B140" s="102">
        <f>IF((B$75-B$78-B$80-$B$81-$B$82-$B$83-$B$84)&gt;0, $B$74-$B$78-$B$80-$B$81-$B$82-$B$83-$B$84,0)</f>
        <v>0</v>
      </c>
      <c r="C140" s="102">
        <f>IF((C$75-$C$78-$C$80-$C$81-$C$82-$C$83-$C$84-$B$86-$B$88)&gt;0,$C$74-$C$78-$B$78-$B$80-$B$81-$B$82-$B$83-$B$84,0)</f>
        <v>0</v>
      </c>
      <c r="D140" s="102">
        <f>IF(($D$75-$D$78-$D$80-$D$81-$D$82-$D$83-$D$84-$C$86-$C$88)&gt;0,$D$74-$D$78-$C$78-$B$80-$B$81-$B$82-$B$83-$B$84,0)</f>
        <v>0</v>
      </c>
      <c r="E140" s="102">
        <f>IF(($E$75-$E$78-$E$80-$E$81-$E$82-$E$83-$E$84-$D$86-$D$88)&gt;0,$E$74-$E$78-$D$78-$B$80-$B$81-$B$82-$B$83-$B$84,0)</f>
        <v>0</v>
      </c>
      <c r="F140" s="102">
        <f>IF(($F$75-$F$78-$F$80-$F$81-$F$82-$F$83-$F$84-$E$86-$E$88)&gt;0,$F$74-$F$78-$E$78-$B$80-$B$81-$B$82-$B$83-$B$84,0)</f>
        <v>0</v>
      </c>
      <c r="G140" s="102">
        <f>IF(($G$75-$G$78-$G$80-$G$81-$G$82-$G$83-$G$84-$F$86-$F$88)&gt;0,$G$74-$G$78-$F$78-$B$80-$B$81-$B$82-$B$83-$B$84,0)</f>
        <v>0</v>
      </c>
      <c r="H140" s="102">
        <f>IF(($H$75-$H$78-$H$80-$H$81-$H$82-$H$83-$H$84-$G$86-$G$88)&gt;0,$H$74-$H$78-$G$78-$B$80-$B$81-$B$82-$B$83-$B$84,0)</f>
        <v>0</v>
      </c>
      <c r="I140" s="102">
        <f>IF(($I$75-$I$78-$I$80-$I$81-$I$82-$I$83-$I$84-$H$86-$H$88)&gt;0,$I$74-$I$78-$H$78-$B$80-$B$81-$B$82-$B$83-$B$84,0)</f>
        <v>0</v>
      </c>
      <c r="J140" s="102">
        <f>IF(($J$75-$J$78-$J$80-$J$81-$J$82-$J$83-$J$84-$I$86-$I$88)&gt;0,$J$74-$J$78-$I$78-$B$80-$B$81-$B$82-$B$83-$B$84,0)</f>
        <v>0</v>
      </c>
      <c r="K140" s="102">
        <f>IF(($K$75-$K$78-$K$80-$K$81-$K$82-$K$83-$K$84-$J$86-$J$88)&gt;0,$K$74-$K$78-$J$78-$B$80-$B$81-$B$82-$B$83-$B$84,0)</f>
        <v>0</v>
      </c>
      <c r="L140" s="102">
        <f>IF(($L$75-$L$78-$L$80-$L$81-$L$82-$L$83-$L$84-$K$86-$K$88)&gt;0,$L$74-$L$78-$K$78-$B$80-$B$81-$B$82-$B$83-$B$84,0)</f>
        <v>0</v>
      </c>
      <c r="M140" s="102">
        <f>IF(($M$75-$M$78-$M$80-$M$81-$M$82-$M$83-$M$84-$L$86-$L$88)&gt;0,$M$74-$M$78-$L$78-$B$80-$B$81-$B$82-$B$83-$B$84,0)</f>
        <v>0</v>
      </c>
    </row>
    <row r="141" spans="1:19" hidden="1" x14ac:dyDescent="0.35">
      <c r="A141" s="101" t="s">
        <v>132</v>
      </c>
      <c r="B141" s="102">
        <f>IF(($B$75-$B$78-$B$80-$B$81-$B$82-$B$83-$B$84)&gt;0, $B$75-$B$78-$B$80-$B$81-$B$82-$B$83-$B$84,0)</f>
        <v>0</v>
      </c>
      <c r="C141" s="102">
        <f>IF(($C$75-$C$78-$C$80-$C$81-$C$82-$C$83-$C$84-$B$86-$B$88)&gt;0, $C$75-$C$78-$C$80-$C$81-$C$82-$C$83-$C$84-$B$86-$B$88,0)</f>
        <v>0</v>
      </c>
      <c r="D141" s="102">
        <f>IF(($D$75-$D$78-$D$80-$D$81-$D$82-$D$83-$D$84-$C$86-$C$88)&gt;0, $D$75-$D$78-$D$80-$D$81-$D$82-$D$83-$D$84-$C$86-$C$88,0)</f>
        <v>0</v>
      </c>
      <c r="E141" s="102">
        <f>IF(($E$75-$E$78-$E$80-$E$81-$E$82-$E$83-$E$84-$D$86-$D$88)&gt;0, $E$75-$E$78-$E$80-$E$81-$E$82-$E$83-$E$84-$D$86-$D$88,0)</f>
        <v>0</v>
      </c>
      <c r="F141" s="102">
        <f>IF(($F$75-$F$78-$F$80-$F$81-$F$82-$F$83-$F$84-$E$86-$E$88)&gt;0, $F$75-$F$78-$F$80-$F$81-$F$82-$F$83-$F$84-$E$86-$E$88,0)</f>
        <v>0</v>
      </c>
      <c r="G141" s="102">
        <f>IF(($G$75-$G$78-$G$80-$G$81-$G$82-$G$83-$G$84-$F$86-$F$88)&gt;0, $G$75-$G$78-$G$80-$G$81-$G$82-$G$83-$G$84-$F$86-$F$88,0)</f>
        <v>0</v>
      </c>
      <c r="H141" s="102">
        <f>IF(($H$75-$H$78-$H$80-$H$81-$H$82-$H$83-$H$84-$G$86-$G$88)&gt;0, $H$75-$H$78-$H$80-$H$81-$H$82-$H$83-$H$84-$G$86-$G$88,0)</f>
        <v>0</v>
      </c>
      <c r="I141" s="102">
        <f>IF(($I$75-$I$78-$I$80-$I$81-$I$82-$I$83-$I$84-$H$86-$H$88)&gt;0, $I$75-$I$78-$I$80-$I$81-$I$82-$I$83-$I$84-$H$86-$H$88,0)</f>
        <v>0</v>
      </c>
      <c r="J141" s="102">
        <f>IF(($J$75-$J$78-$J$80-$J$81-$J$82-$J$83-$J$84-$I$86-$I$88)&gt;0, $J$75-$J$78-$J$80-$J$81-$J$82-$J$83-$J$84-$I$86-$I$88,0)</f>
        <v>0</v>
      </c>
      <c r="K141" s="102">
        <f>IF(($K$75-$K$78-$K$80-$K$81-$K$82-$K$83-$K$84-$J$86-$J$88)&gt;0, $K$75-$K$78-$K$80-$K$81-$K$82-$K$83-$K$84-$J$86-$J$88,0)</f>
        <v>0</v>
      </c>
      <c r="L141" s="102">
        <f>IF(($L$75-$L$78-$L$80-$L$81-$L$82-$L$83-$L$84-$K$86-$K$88)&gt;0, $L$75-$L$78-$L$80-$L$81-$L$82-$L$83-$L$84-$K$86-$K$88,0)</f>
        <v>0</v>
      </c>
      <c r="M141" s="102">
        <f>IF(($M$75-$M$78-$M$80-$M$81-$M$82-$M$83-$M$84-$L$86-$L$88)&gt;0, $M$75-$M$78-$M$80-$M$81-$M$82-$M$83-$M$84-$L$86-$L$88,0)</f>
        <v>0</v>
      </c>
    </row>
    <row r="142" spans="1:19" hidden="1" x14ac:dyDescent="0.35">
      <c r="A142" s="104" t="s">
        <v>144</v>
      </c>
      <c r="B142" s="102">
        <f>MIN($B$140,$B$141)</f>
        <v>0</v>
      </c>
      <c r="C142" s="102">
        <f>MIN($C$140,$C$141)</f>
        <v>0</v>
      </c>
      <c r="D142" s="102">
        <f>MIN($D$140,$D$141)</f>
        <v>0</v>
      </c>
      <c r="E142" s="102">
        <f>MIN($E$140,$E$141)</f>
        <v>0</v>
      </c>
      <c r="F142" s="102">
        <f>MIN($F$140,$F$141)</f>
        <v>0</v>
      </c>
      <c r="G142" s="102">
        <f>MIN($G$140,$G$141)</f>
        <v>0</v>
      </c>
      <c r="H142" s="102">
        <f>MIN($H$140,$H$141)</f>
        <v>0</v>
      </c>
      <c r="I142" s="102">
        <f>MIN($I$140,$I$141)</f>
        <v>0</v>
      </c>
      <c r="J142" s="102">
        <f>MIN($J$140,$J$141)</f>
        <v>0</v>
      </c>
      <c r="K142" s="102">
        <f>MIN($K$140,$K$141)</f>
        <v>0</v>
      </c>
      <c r="L142" s="102">
        <f>MIN($L$140,$L$141)</f>
        <v>0</v>
      </c>
      <c r="M142" s="102">
        <f>MIN($M$140,$M$141)</f>
        <v>0</v>
      </c>
    </row>
    <row r="143" spans="1:19" ht="15" hidden="1" customHeight="1" x14ac:dyDescent="0.35">
      <c r="A143" s="19" t="s">
        <v>130</v>
      </c>
    </row>
    <row r="144" spans="1:19" ht="15" hidden="1" customHeight="1" x14ac:dyDescent="0.35">
      <c r="A144" s="57" t="s">
        <v>118</v>
      </c>
      <c r="B144" s="58">
        <f>IF($B$42&lt;=808124.1,$B$13+$B$34,0)</f>
        <v>0</v>
      </c>
      <c r="C144" s="58">
        <f>IF($C$42&lt;=808124.1,$C$13+$C$34,0)</f>
        <v>0</v>
      </c>
      <c r="D144" s="58">
        <f>IF($D$42&lt;=808124.1,$D$13+$D$34,0)</f>
        <v>0</v>
      </c>
      <c r="E144" s="58">
        <f>IF($E$42&lt;=808124.1,$E$13+$E$34,0)</f>
        <v>0</v>
      </c>
      <c r="F144" s="58">
        <f>IF($F$42&lt;=808124.1,$F$13+$F$34,0)</f>
        <v>0</v>
      </c>
      <c r="G144" s="58">
        <f>IF($G$42&lt;=808124.1,$G$13+$G$34,0)</f>
        <v>0</v>
      </c>
      <c r="H144" s="58">
        <f>IF($H$42&lt;=808124.1,$H$13+$H$34,0)</f>
        <v>0</v>
      </c>
      <c r="I144" s="58">
        <f>IF($I$42&lt;=808124.1,$I$13+$I$34,0)</f>
        <v>0</v>
      </c>
      <c r="J144" s="58">
        <f>IF($J$42&lt;=808124.1,$J$13+$J$34,0)</f>
        <v>0</v>
      </c>
      <c r="K144" s="58">
        <f>IF($K$42&lt;=808124.1,$K$13+$K$34,0)</f>
        <v>0</v>
      </c>
      <c r="L144" s="58">
        <f>IF($L$42&lt;=808124.1,$L$13+$L$34,0)</f>
        <v>0</v>
      </c>
      <c r="M144" s="58">
        <f>IF($M$42&lt;=808124.1,$M$13+$M$34,0)</f>
        <v>0</v>
      </c>
      <c r="N144" s="52"/>
      <c r="O144" s="4"/>
      <c r="P144" s="4"/>
      <c r="Q144" s="4"/>
      <c r="R144" s="4"/>
      <c r="S144" s="4"/>
    </row>
    <row r="145" spans="1:19" ht="15" hidden="1" customHeight="1" x14ac:dyDescent="0.35">
      <c r="A145" s="57" t="s">
        <v>119</v>
      </c>
      <c r="B145" s="58">
        <f>IF($B$144&gt;180673.27,180673.27,$B$144)</f>
        <v>0</v>
      </c>
      <c r="C145" s="58">
        <f>IF($B$144+$C$144&gt;180673.27,180673.27-$B$145,$C$144)</f>
        <v>0</v>
      </c>
      <c r="D145" s="58">
        <f>IF($B$144+$C$144+$D$144&gt;180673.27,180673.27-$C$145-$B$145,$D$144)</f>
        <v>0</v>
      </c>
      <c r="E145" s="58">
        <f>IF($B$144+$C$144+$D$144+$E$144&gt;180673.27,180673.27-$D$145-$C$145-$B$145,$E$144)</f>
        <v>0</v>
      </c>
      <c r="F145" s="58">
        <f>IF($B$144+$C$144+$D$144+$E$144+$F$144&gt;180673.27,180673.27-$B$145-$E$145-$D$145-$C$145,$F$144)</f>
        <v>0</v>
      </c>
      <c r="G145" s="58">
        <f>IF($B$144+$C$144+$D$144+$E$144+$F$144+$G$144&gt;180673.27,180673.27-$B$145-$C$145-$F$145-$E$145-$D$145,$G$144)</f>
        <v>0</v>
      </c>
      <c r="H145" s="58">
        <f>IF($B$144+$C$144+$D$144+$E$144+$F$144+$G$144+$H$144&gt;180673.27,180673.27-$B$145-$C$145-$D$145-$G$145-$F$145-$E$145,$H$144)</f>
        <v>0</v>
      </c>
      <c r="I145" s="58">
        <f>IF($B$144+$C$144+$D$144+$E$144+$F$144+$G$144+$H$144+$I$144&gt;180673.27,180673.27-$B$145-$C$145-$D$145-$E$145-$H$145-$G$145-$F$145,$I$144)</f>
        <v>0</v>
      </c>
      <c r="J145" s="58">
        <f>IF($B$144+$C$144+$D$144+$E$144+$F$144+$G$144+$H$144+$I$144+$J$144&gt;180673.27,180673.27-$B$145-$C$145-$D$145-$E$145-$F$145-$I$145-$H$145-$G$145,$J$144)</f>
        <v>0</v>
      </c>
      <c r="K145" s="58">
        <f>IF($B$144+$C$144+$D$144+$E$144+$F$144+$G$144+$H$144+$I$144+$J$144+$K$144&gt;180673.27,180673.27-$B$145-$C$145-$D$145-$E$145-$F$145-$G$145-$J$145-$I$145-$H$145,$K$144)</f>
        <v>0</v>
      </c>
      <c r="L145" s="58">
        <f>IF($B$144+$C$144+$D$144+$E$144+$F$144+$G$144+$H$144+$I$144+$J$144+$K$144+$L$144&gt;180673.27,180673.27-$B$145-$C$145-$D$145-$E$145-$F$145-$G$145-$H$145-$K$145-$J$145-$I$145,$L$144)</f>
        <v>0</v>
      </c>
      <c r="M145" s="58">
        <f>IF($B$144+$C$144+$D$144+$E$144+$F$144+$G$144+$H$144+$I$144+$J$144+$K$144+$L$144+$M$144&gt;180673.27,180673.27-$B$145-$C$145-$D$145-$E$145-$F$145-$G$145-$H$145-$I$145-$L$145-$K$145-$J$145,$M$144)</f>
        <v>0</v>
      </c>
      <c r="N145" s="52"/>
      <c r="O145" s="4"/>
      <c r="P145" s="4"/>
      <c r="Q145" s="4"/>
      <c r="R145" s="4"/>
      <c r="S145" s="4"/>
    </row>
    <row r="146" spans="1:19" ht="15" hidden="1" customHeight="1" x14ac:dyDescent="0.35">
      <c r="A146" s="57" t="s">
        <v>120</v>
      </c>
      <c r="B146" s="58">
        <f>+$B$144-$B$145</f>
        <v>0</v>
      </c>
      <c r="C146" s="58">
        <f>+$C$144-$C$145</f>
        <v>0</v>
      </c>
      <c r="D146" s="58">
        <f>+$D$144-$D$145</f>
        <v>0</v>
      </c>
      <c r="E146" s="58">
        <f>+$E$144-$E$145</f>
        <v>0</v>
      </c>
      <c r="F146" s="58">
        <f>+$F$144-$F$145</f>
        <v>0</v>
      </c>
      <c r="G146" s="58">
        <f>+$G$144-$G$145</f>
        <v>0</v>
      </c>
      <c r="H146" s="58">
        <f>+$H$144-$H$145</f>
        <v>0</v>
      </c>
      <c r="I146" s="58">
        <f>+$I$144-$I$145</f>
        <v>0</v>
      </c>
      <c r="J146" s="58">
        <f>+$J$144-$J$145</f>
        <v>0</v>
      </c>
      <c r="K146" s="58">
        <f>+$K$144-$K$145</f>
        <v>0</v>
      </c>
      <c r="L146" s="58">
        <f>+$L$144-$L$145</f>
        <v>0</v>
      </c>
      <c r="M146" s="58">
        <f>+$M$144-$M$145</f>
        <v>0</v>
      </c>
      <c r="N146" s="52"/>
      <c r="O146" s="4"/>
      <c r="P146" s="4"/>
      <c r="Q146" s="4"/>
      <c r="R146" s="4"/>
      <c r="S146" s="4"/>
    </row>
    <row r="147" spans="1:19" ht="15" hidden="1" customHeight="1" x14ac:dyDescent="0.35">
      <c r="A147" s="57" t="s">
        <v>121</v>
      </c>
      <c r="B147" s="58">
        <f>IF($B$42&gt;808124.1,($B$13+$B$34),0)</f>
        <v>0</v>
      </c>
      <c r="C147" s="58">
        <f>IF($C$42&gt;808124.1,($C$13+$C$34),0)</f>
        <v>0</v>
      </c>
      <c r="D147" s="58">
        <f>IF($D$42&gt;808124.1,($D$13+$D$34),0)</f>
        <v>0</v>
      </c>
      <c r="E147" s="58">
        <f>IF($E$42&gt;808124.1,($E$13+$E$34),0)</f>
        <v>0</v>
      </c>
      <c r="F147" s="58">
        <f>IF($F$42&gt;808124.1,($F$13+$F$34),0)</f>
        <v>0</v>
      </c>
      <c r="G147" s="58">
        <f>IF($G$42&gt;808124.1,($G$13+$G$34),0)</f>
        <v>0</v>
      </c>
      <c r="H147" s="58">
        <f>IF($H$42&gt;808124.1,($H$13+$H$34),0)</f>
        <v>0</v>
      </c>
      <c r="I147" s="58">
        <f>IF($I$42&gt;808124.1,($I$13+$I$34),0)</f>
        <v>0</v>
      </c>
      <c r="J147" s="58">
        <f>IF($J$42&gt;808124.1,($J$13+$J$34),0)</f>
        <v>0</v>
      </c>
      <c r="K147" s="58">
        <f>IF($K$42&gt;808124.1,($K$13+$K$34),0)</f>
        <v>0</v>
      </c>
      <c r="L147" s="58">
        <f>IF($L$42&gt;808124.1,($L$13+$L$34),0)</f>
        <v>0</v>
      </c>
      <c r="M147" s="58">
        <f>IF($M$42&gt;808124.1,($M$13+$M$34),0)</f>
        <v>0</v>
      </c>
      <c r="N147" s="52"/>
      <c r="O147" s="4"/>
      <c r="P147" s="4"/>
      <c r="Q147" s="4"/>
      <c r="R147" s="4"/>
      <c r="S147" s="4"/>
    </row>
    <row r="148" spans="1:19" ht="15" hidden="1" customHeight="1" x14ac:dyDescent="0.35">
      <c r="A148" s="8" t="s">
        <v>123</v>
      </c>
      <c r="B148" s="4">
        <f>+$B$13</f>
        <v>0</v>
      </c>
      <c r="C148" s="4">
        <f>+$C$13</f>
        <v>0</v>
      </c>
      <c r="D148" s="4">
        <f>+$D$13</f>
        <v>0</v>
      </c>
      <c r="E148" s="4">
        <f>+$E$13</f>
        <v>0</v>
      </c>
      <c r="F148" s="4">
        <f>+$F$13</f>
        <v>0</v>
      </c>
      <c r="G148" s="4">
        <f>+$G$13</f>
        <v>0</v>
      </c>
      <c r="H148" s="4">
        <f>+$H$13</f>
        <v>0</v>
      </c>
      <c r="I148" s="4">
        <f>+$I$13</f>
        <v>0</v>
      </c>
      <c r="J148" s="4">
        <f>+$J$13</f>
        <v>0</v>
      </c>
      <c r="K148" s="4">
        <f>+$K$13</f>
        <v>0</v>
      </c>
      <c r="L148" s="4">
        <f>+$L$13</f>
        <v>0</v>
      </c>
      <c r="M148" s="4">
        <f>+$M$13</f>
        <v>0</v>
      </c>
      <c r="N148" s="52"/>
      <c r="O148" s="4"/>
      <c r="P148" s="4"/>
      <c r="Q148" s="4"/>
      <c r="R148" s="4"/>
      <c r="S148" s="4"/>
    </row>
    <row r="149" spans="1:19" ht="15" hidden="1" customHeight="1" x14ac:dyDescent="0.35">
      <c r="A149" s="8" t="s">
        <v>124</v>
      </c>
      <c r="B149" s="4">
        <f>+$B$34</f>
        <v>0</v>
      </c>
      <c r="C149" s="4">
        <f>+$C$34</f>
        <v>0</v>
      </c>
      <c r="D149" s="4">
        <f>+$D$34</f>
        <v>0</v>
      </c>
      <c r="E149" s="4">
        <f>+$E$34</f>
        <v>0</v>
      </c>
      <c r="F149" s="4">
        <f>+$F$34</f>
        <v>0</v>
      </c>
      <c r="G149" s="4">
        <f>+$G$34</f>
        <v>0</v>
      </c>
      <c r="H149" s="4">
        <f>+$H$34</f>
        <v>0</v>
      </c>
      <c r="I149" s="4">
        <f>+$I$34</f>
        <v>0</v>
      </c>
      <c r="J149" s="4">
        <f>+$J$34</f>
        <v>0</v>
      </c>
      <c r="K149" s="4">
        <f>+$K$34</f>
        <v>0</v>
      </c>
      <c r="L149" s="4">
        <f>+$L$34</f>
        <v>0</v>
      </c>
      <c r="M149" s="4">
        <f>+$M$34</f>
        <v>0</v>
      </c>
      <c r="N149" s="52"/>
      <c r="O149" s="4"/>
      <c r="P149" s="4"/>
      <c r="Q149" s="4"/>
      <c r="R149" s="4"/>
      <c r="S149" s="4"/>
    </row>
    <row r="150" spans="1:19" ht="15" hidden="1" customHeight="1" x14ac:dyDescent="0.35">
      <c r="A150" s="57" t="s">
        <v>125</v>
      </c>
      <c r="B150" s="12">
        <f>SUM($B$148:$B$149)</f>
        <v>0</v>
      </c>
      <c r="C150" s="12">
        <f>SUM($C$148:$C$149)</f>
        <v>0</v>
      </c>
      <c r="D150" s="12">
        <f>SUM($D$148:$D$149)</f>
        <v>0</v>
      </c>
      <c r="E150" s="12">
        <f>SUM($E$148:$E$149)</f>
        <v>0</v>
      </c>
      <c r="F150" s="12">
        <f>SUM($F$148:$F$149)</f>
        <v>0</v>
      </c>
      <c r="G150" s="12">
        <f>SUM($G$148:$G$149)</f>
        <v>0</v>
      </c>
      <c r="H150" s="12">
        <f>SUM($H$148:$H$149)</f>
        <v>0</v>
      </c>
      <c r="I150" s="12">
        <f>SUM($I$148:$I$149)</f>
        <v>0</v>
      </c>
      <c r="J150" s="12">
        <f>SUM($J$148:$J$149)</f>
        <v>0</v>
      </c>
      <c r="K150" s="12">
        <f>SUM($K$148:$K$149)</f>
        <v>0</v>
      </c>
      <c r="L150" s="12">
        <f>SUM($L$148:$L$149)</f>
        <v>0</v>
      </c>
      <c r="M150" s="12">
        <f>SUM($M$148:$M$149)</f>
        <v>0</v>
      </c>
      <c r="N150" s="52"/>
      <c r="O150" s="4"/>
      <c r="P150" s="4"/>
      <c r="Q150" s="4"/>
      <c r="R150" s="4"/>
      <c r="S150" s="4"/>
    </row>
    <row r="151" spans="1:19" ht="15" hidden="1" customHeight="1" x14ac:dyDescent="0.35">
      <c r="A151" s="8" t="s">
        <v>126</v>
      </c>
      <c r="B151" s="59">
        <f>IF($B$148&gt;0, $B$148/$B$150,0)</f>
        <v>0</v>
      </c>
      <c r="C151" s="59">
        <f>IF($C$148&gt;0, $C$148/$C$150,0)</f>
        <v>0</v>
      </c>
      <c r="D151" s="59">
        <f>IF($D$148&gt;0, $D$148/$D$150,0)</f>
        <v>0</v>
      </c>
      <c r="E151" s="59">
        <f>IF($E$148&gt;0, $E$148/$E$150,0)</f>
        <v>0</v>
      </c>
      <c r="F151" s="59">
        <f>IF($F$148&gt;0, $F$148/$F$150,0)</f>
        <v>0</v>
      </c>
      <c r="G151" s="59">
        <f>IF($G$148&gt;0, $G$148/$G$150,0)</f>
        <v>0</v>
      </c>
      <c r="H151" s="59">
        <f>IF($H$148&gt;0, $H$148/$H$150,0)</f>
        <v>0</v>
      </c>
      <c r="I151" s="59">
        <f>IF($I$148&gt;0, $I$148/$I$150,0)</f>
        <v>0</v>
      </c>
      <c r="J151" s="59">
        <f>IF($J$148&gt;0, $J$148/$J$150,0)</f>
        <v>0</v>
      </c>
      <c r="K151" s="59">
        <f>IF($K$148&gt;0, $K$148/$K$150,0)</f>
        <v>0</v>
      </c>
      <c r="L151" s="59">
        <f>IF($L$148&gt;0, $L$148/$L$150,0)</f>
        <v>0</v>
      </c>
      <c r="M151" s="59">
        <f>IF($M$148&gt;0, $M$148/$M$150,0)</f>
        <v>0</v>
      </c>
      <c r="N151" s="52"/>
      <c r="O151" s="7"/>
      <c r="P151" s="12"/>
      <c r="Q151" s="4"/>
      <c r="R151" s="4"/>
      <c r="S151" s="4"/>
    </row>
    <row r="152" spans="1:19" ht="15" hidden="1" customHeight="1" x14ac:dyDescent="0.35">
      <c r="A152" s="8" t="s">
        <v>127</v>
      </c>
      <c r="B152" s="59">
        <f>IF($B$149&gt;0,+$B$149/$B$150,0)</f>
        <v>0</v>
      </c>
      <c r="C152" s="59">
        <f>IF($C$149&gt;0,+$C$149/$C$150,0)</f>
        <v>0</v>
      </c>
      <c r="D152" s="59">
        <f>IF($D$149&gt;0,+$D$149/$D$150,0)</f>
        <v>0</v>
      </c>
      <c r="E152" s="59">
        <f>IF($E$149&gt;0,+$E$149/$E$150,0)</f>
        <v>0</v>
      </c>
      <c r="F152" s="59">
        <f>IF($F$149&gt;0,+$F$149/$F$150,0)</f>
        <v>0</v>
      </c>
      <c r="G152" s="59">
        <f>IF($G$149&gt;0,+$G$149/$G$150,0)</f>
        <v>0</v>
      </c>
      <c r="H152" s="59">
        <f>IF($H$149&gt;0,+$H$149/$H$150,0)</f>
        <v>0</v>
      </c>
      <c r="I152" s="59">
        <f>IF($I$149&gt;0,+$I$149/$I$150,0)</f>
        <v>0</v>
      </c>
      <c r="J152" s="59">
        <f>IF($J$149&gt;0,+$J$149/$J$150,0)</f>
        <v>0</v>
      </c>
      <c r="K152" s="59">
        <f>IF($K$149&gt;0,+$K$149/$K$150,0)</f>
        <v>0</v>
      </c>
      <c r="L152" s="59">
        <f>IF($L$149&gt;0,+$L$149/$L$150,0)</f>
        <v>0</v>
      </c>
      <c r="M152" s="59">
        <f>IF($M$149&gt;0,+$M$149/$M$150,0)</f>
        <v>0</v>
      </c>
      <c r="N152" s="52"/>
      <c r="O152" s="7"/>
      <c r="P152" s="12"/>
      <c r="Q152" s="4"/>
      <c r="R152" s="4"/>
      <c r="S152" s="4"/>
    </row>
    <row r="153" spans="1:19" ht="15" hidden="1" customHeight="1" x14ac:dyDescent="0.35">
      <c r="A153" s="57" t="s">
        <v>122</v>
      </c>
      <c r="B153" s="60">
        <f>+$B$146+$B$147</f>
        <v>0</v>
      </c>
      <c r="C153" s="60">
        <f>+$C$146+$C$147</f>
        <v>0</v>
      </c>
      <c r="D153" s="60">
        <f>+$D$146+$D$147</f>
        <v>0</v>
      </c>
      <c r="E153" s="60">
        <f>+$E$146+$E$147</f>
        <v>0</v>
      </c>
      <c r="F153" s="60">
        <f>+$F$146+$F$147</f>
        <v>0</v>
      </c>
      <c r="G153" s="60">
        <f>+$G$146+$G$147</f>
        <v>0</v>
      </c>
      <c r="H153" s="60">
        <f>+$H$146+$H$147</f>
        <v>0</v>
      </c>
      <c r="I153" s="60">
        <f>+$I$146+$I$147</f>
        <v>0</v>
      </c>
      <c r="J153" s="60">
        <f>+$J$146+$J$147</f>
        <v>0</v>
      </c>
      <c r="K153" s="60">
        <f>+$K$146+$K$147</f>
        <v>0</v>
      </c>
      <c r="L153" s="60">
        <f>+$L$146+$L$147</f>
        <v>0</v>
      </c>
      <c r="M153" s="60">
        <f>+$M$146+$M$147</f>
        <v>0</v>
      </c>
      <c r="N153" s="52"/>
      <c r="O153" s="7"/>
      <c r="P153" s="12"/>
      <c r="Q153" s="4"/>
      <c r="R153" s="4"/>
      <c r="S153" s="4"/>
    </row>
    <row r="154" spans="1:19" ht="15" hidden="1" customHeight="1" x14ac:dyDescent="0.35">
      <c r="A154" s="8" t="s">
        <v>128</v>
      </c>
      <c r="B154" s="59">
        <f>+$B$153*$B$151</f>
        <v>0</v>
      </c>
      <c r="C154" s="59">
        <f>+$C$153*$C$151</f>
        <v>0</v>
      </c>
      <c r="D154" s="59">
        <f>+$D$153*$D$151</f>
        <v>0</v>
      </c>
      <c r="E154" s="59">
        <f>+$E$153*$E$151</f>
        <v>0</v>
      </c>
      <c r="F154" s="59">
        <f>+$F$153*$F$151</f>
        <v>0</v>
      </c>
      <c r="G154" s="59">
        <f>+$G$153*$G$151</f>
        <v>0</v>
      </c>
      <c r="H154" s="59">
        <f>+$H$153*$H$151</f>
        <v>0</v>
      </c>
      <c r="I154" s="59">
        <f>+$I$153*$I$151</f>
        <v>0</v>
      </c>
      <c r="J154" s="59">
        <f>+$J$153*$J$151</f>
        <v>0</v>
      </c>
      <c r="K154" s="59">
        <f>+$K$153*$K$151</f>
        <v>0</v>
      </c>
      <c r="L154" s="59">
        <f>+$L$153*$L$151</f>
        <v>0</v>
      </c>
      <c r="M154" s="59">
        <f>+$M$153*$M$151</f>
        <v>0</v>
      </c>
      <c r="N154" s="52"/>
      <c r="O154" s="7"/>
      <c r="P154" s="12"/>
      <c r="Q154" s="4"/>
      <c r="R154" s="4"/>
      <c r="S154" s="4"/>
    </row>
    <row r="155" spans="1:19" ht="15" hidden="1" customHeight="1" x14ac:dyDescent="0.35">
      <c r="A155" s="8" t="s">
        <v>129</v>
      </c>
      <c r="B155" s="59">
        <f>+$B$153*$B$152</f>
        <v>0</v>
      </c>
      <c r="C155" s="59">
        <f>+$C$153*$C$152</f>
        <v>0</v>
      </c>
      <c r="D155" s="59">
        <f>+$D$153*$D$152</f>
        <v>0</v>
      </c>
      <c r="E155" s="59">
        <f>+$E$153*$E$152</f>
        <v>0</v>
      </c>
      <c r="F155" s="59">
        <f>+$F$153*$F$152</f>
        <v>0</v>
      </c>
      <c r="G155" s="59">
        <f>+$G$153*$G$152</f>
        <v>0</v>
      </c>
      <c r="H155" s="59">
        <f>+$H$153*$H$152</f>
        <v>0</v>
      </c>
      <c r="I155" s="59">
        <f>+$I$153*$I$152</f>
        <v>0</v>
      </c>
      <c r="J155" s="59">
        <f>+$J$153*$J$152</f>
        <v>0</v>
      </c>
      <c r="K155" s="59">
        <f>+$K$153*$K$152</f>
        <v>0</v>
      </c>
      <c r="L155" s="59">
        <f>+$L$153*$L$152</f>
        <v>0</v>
      </c>
      <c r="M155" s="59">
        <f>+$M$153*$M$152</f>
        <v>0</v>
      </c>
      <c r="N155" s="52"/>
      <c r="O155" s="4"/>
      <c r="P155" s="4"/>
      <c r="Q155" s="4"/>
      <c r="R155" s="4"/>
      <c r="S155" s="4"/>
    </row>
    <row r="157" spans="1:19" x14ac:dyDescent="0.35">
      <c r="A157" s="3" t="s">
        <v>134</v>
      </c>
      <c r="B157" s="7" t="s">
        <v>138</v>
      </c>
    </row>
    <row r="158" spans="1:19" x14ac:dyDescent="0.35">
      <c r="A158" s="8" t="s">
        <v>135</v>
      </c>
      <c r="B158" s="95">
        <v>11</v>
      </c>
      <c r="C158" s="94">
        <f>+B158/100</f>
        <v>0.11</v>
      </c>
    </row>
    <row r="159" spans="1:19" x14ac:dyDescent="0.35">
      <c r="A159" s="8" t="s">
        <v>136</v>
      </c>
      <c r="B159" s="95">
        <v>3</v>
      </c>
      <c r="C159" s="94">
        <f>+B159/100</f>
        <v>0.03</v>
      </c>
    </row>
    <row r="160" spans="1:19" x14ac:dyDescent="0.35">
      <c r="A160" s="8" t="s">
        <v>137</v>
      </c>
      <c r="B160" s="95">
        <v>3</v>
      </c>
      <c r="C160" s="94">
        <f>+B160/100</f>
        <v>0.03</v>
      </c>
    </row>
    <row r="161" spans="1:3" x14ac:dyDescent="0.35">
      <c r="C161">
        <f>1-C158-C159-C160</f>
        <v>0.83</v>
      </c>
    </row>
    <row r="162" spans="1:3" s="97" customFormat="1" x14ac:dyDescent="0.35">
      <c r="A162" s="96"/>
    </row>
  </sheetData>
  <sheetProtection algorithmName="SHA-512" hashValue="UX0CGVEa/IbeOl67JCmXeUqv6GYSoei0BJfv76mxWBqoVOWIHWwUrcjBChKZDU8ZTM3fEvlP3As/IYHVVQUvJA==" saltValue="B9boVmbrz6GEVXarfhTKLA==" spinCount="100000" sheet="1" objects="1" scenarios="1"/>
  <dataConsolidate>
    <dataRefs count="1">
      <dataRef ref="B66" sheet="Planilla de Liquidación"/>
    </dataRefs>
  </dataConsolidate>
  <mergeCells count="1">
    <mergeCell ref="K4:M4"/>
  </mergeCells>
  <phoneticPr fontId="6" type="noConversion"/>
  <dataValidations count="5">
    <dataValidation type="list" allowBlank="1" showInputMessage="1" showErrorMessage="1" sqref="B102" xr:uid="{00000000-0002-0000-0000-000000000000}">
      <formula1>"0,1"</formula1>
    </dataValidation>
    <dataValidation type="whole" allowBlank="1" showInputMessage="1" showErrorMessage="1" sqref="B158" xr:uid="{00000000-0002-0000-0000-000001000000}">
      <formula1>0</formula1>
      <formula2>22</formula2>
    </dataValidation>
    <dataValidation type="whole" allowBlank="1" showInputMessage="1" showErrorMessage="1" sqref="B159:B160" xr:uid="{00000000-0002-0000-0000-000002000000}">
      <formula1>0</formula1>
      <formula2>6</formula2>
    </dataValidation>
    <dataValidation type="whole" allowBlank="1" showInputMessage="1" showErrorMessage="1" sqref="C102 C104:C109 C111:C113" xr:uid="{00000000-0002-0000-0000-000003000000}">
      <formula1>1</formula1>
      <formula2>12</formula2>
    </dataValidation>
    <dataValidation type="list" allowBlank="1" showInputMessage="1" showErrorMessage="1" sqref="B104:B109 B111:B113" xr:uid="{00000000-0002-0000-0000-000004000000}">
      <formula1>$B$114:$B$116</formula1>
    </dataValidation>
  </dataValidations>
  <pageMargins left="0.70866141732283472" right="0.70866141732283472" top="0.74803149606299213" bottom="0.74803149606299213" header="0.31496062992125984" footer="0.31496062992125984"/>
  <pageSetup paperSize="5" scale="48" fitToHeight="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6"/>
  <sheetViews>
    <sheetView zoomScaleNormal="100" workbookViewId="0">
      <selection activeCell="E2" sqref="E2"/>
    </sheetView>
  </sheetViews>
  <sheetFormatPr baseColWidth="10" defaultColWidth="13.453125" defaultRowHeight="14.5" x14ac:dyDescent="0.35"/>
  <cols>
    <col min="1" max="2" width="13.453125" style="1"/>
    <col min="3" max="3" width="14.54296875" style="1" bestFit="1" customWidth="1"/>
    <col min="4" max="16384" width="13.453125" style="1"/>
  </cols>
  <sheetData>
    <row r="1" spans="1:15" x14ac:dyDescent="0.35">
      <c r="A1"/>
      <c r="B1"/>
      <c r="C1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ht="15" thickBot="1" x14ac:dyDescent="0.4">
      <c r="A2" s="152" t="s">
        <v>100</v>
      </c>
      <c r="B2" s="153"/>
      <c r="C2" s="154"/>
      <c r="D2" s="92">
        <f>'Planilla de Liquidación'!B94</f>
        <v>0</v>
      </c>
      <c r="E2" s="92">
        <f>'Planilla de Liquidación'!C94</f>
        <v>0</v>
      </c>
      <c r="F2" s="92">
        <f>'Planilla de Liquidación'!D94</f>
        <v>0</v>
      </c>
      <c r="G2" s="92">
        <f>'Planilla de Liquidación'!E94</f>
        <v>0</v>
      </c>
      <c r="H2" s="92">
        <f>'Planilla de Liquidación'!F94</f>
        <v>0</v>
      </c>
      <c r="I2" s="92">
        <f>'Planilla de Liquidación'!G94</f>
        <v>0</v>
      </c>
      <c r="J2" s="92">
        <f>'Planilla de Liquidación'!H94</f>
        <v>0</v>
      </c>
      <c r="K2" s="92">
        <f>'Planilla de Liquidación'!I94</f>
        <v>0</v>
      </c>
      <c r="L2" s="92">
        <f>'Planilla de Liquidación'!J94</f>
        <v>0</v>
      </c>
      <c r="M2" s="92">
        <f>'Planilla de Liquidación'!K94</f>
        <v>0</v>
      </c>
      <c r="N2" s="92">
        <f>'Planilla de Liquidación'!L94</f>
        <v>0</v>
      </c>
      <c r="O2" s="92">
        <f>'Planilla de Liquidación'!M94</f>
        <v>0</v>
      </c>
    </row>
    <row r="3" spans="1:15" ht="15" thickBot="1" x14ac:dyDescent="0.4">
      <c r="A3" s="160" t="s">
        <v>101</v>
      </c>
      <c r="B3" s="161"/>
      <c r="C3" s="162"/>
      <c r="D3" s="92">
        <f>D2-(('Planilla de Liquidación'!B9+'Planilla de Liquidación'!B32)-(('Planilla de Liquidación'!B9+'Planilla de Liquidación'!B32)*0.17))</f>
        <v>0</v>
      </c>
      <c r="E3" s="92">
        <f>E2-(('Planilla de Liquidación'!C9+'Planilla de Liquidación'!C32)-(('Planilla de Liquidación'!C9+'Planilla de Liquidación'!C32)*0.17))</f>
        <v>0</v>
      </c>
      <c r="F3" s="92">
        <f>F2-(('Planilla de Liquidación'!D9+'Planilla de Liquidación'!D32)-(('Planilla de Liquidación'!D9+'Planilla de Liquidación'!D32)*0.17))</f>
        <v>0</v>
      </c>
      <c r="G3" s="92">
        <f>G2-(('Planilla de Liquidación'!E9+'Planilla de Liquidación'!E32)-(('Planilla de Liquidación'!E9+'Planilla de Liquidación'!E32)*0.17))</f>
        <v>0</v>
      </c>
      <c r="H3" s="92">
        <f>H2-(('Planilla de Liquidación'!F9+'Planilla de Liquidación'!F32)-(('Planilla de Liquidación'!F9+'Planilla de Liquidación'!F32)*0.17))</f>
        <v>0</v>
      </c>
      <c r="I3" s="92">
        <f>I2-(('Planilla de Liquidación'!G9+'Planilla de Liquidación'!G32)-(('Planilla de Liquidación'!G9+'Planilla de Liquidación'!G32)*0.17))</f>
        <v>0</v>
      </c>
      <c r="J3" s="92">
        <f>J2-(('Planilla de Liquidación'!H9+'Planilla de Liquidación'!H32)-(('Planilla de Liquidación'!H9+'Planilla de Liquidación'!H32)*0.17))</f>
        <v>0</v>
      </c>
      <c r="K3" s="92">
        <f>K2-(('Planilla de Liquidación'!I9+'Planilla de Liquidación'!I32)-(('Planilla de Liquidación'!I9+'Planilla de Liquidación'!I32)*0.17))</f>
        <v>0</v>
      </c>
      <c r="L3" s="92">
        <f>L2-(('Planilla de Liquidación'!J9+'Planilla de Liquidación'!J32)-(('Planilla de Liquidación'!J9+'Planilla de Liquidación'!J32)*0.17))</f>
        <v>0</v>
      </c>
      <c r="M3" s="92">
        <f>M2-(('Planilla de Liquidación'!K9+'Planilla de Liquidación'!K32)-(('Planilla de Liquidación'!K9+'Planilla de Liquidación'!K32)*0.17))</f>
        <v>0</v>
      </c>
      <c r="N3" s="92">
        <f>N2-(('Planilla de Liquidación'!L9+'Planilla de Liquidación'!L32)-(('Planilla de Liquidación'!L9+'Planilla de Liquidación'!L32)*0.17))</f>
        <v>0</v>
      </c>
      <c r="O3" s="92">
        <f>O2-(('Planilla de Liquidación'!M9+'Planilla de Liquidación'!M32)-(('Planilla de Liquidación'!M9+'Planilla de Liquidación'!M32)*0.17))</f>
        <v>0</v>
      </c>
    </row>
    <row r="4" spans="1:15" ht="15" thickBot="1" x14ac:dyDescent="0.4">
      <c r="A4" s="155" t="s">
        <v>102</v>
      </c>
      <c r="B4" s="156"/>
      <c r="C4" s="157"/>
      <c r="D4" s="93">
        <f>IFERROR(LOOKUP(D3,$B$9:$C$17,$D$9:$D$17)+((LOOKUP(D3,$B$9:$C$17,$E$9:$E$17)*(D2-LOOKUP(D3,$B$9:$C$17,$F$9:$F$17)))),0)</f>
        <v>0</v>
      </c>
      <c r="E4" s="93">
        <f>IFERROR(LOOKUP(E3,$B$18:$C$26,$D$18:$D$26)+((LOOKUP(E3,$B$18:$C$26,$E$18:$E$26)*(E2-LOOKUP(E3,$B$18:$C$26,$F$18:$F$26)))),0)</f>
        <v>0</v>
      </c>
      <c r="F4" s="93">
        <f>IFERROR(LOOKUP(F3,$B$27:$C$35,$D$27:$D$35)+((LOOKUP(F3,$B$27:$C$35,$E$27:$E$35)*(F2-LOOKUP(F3,$B$27:$C$35,$F$27:$F$35)))),0)</f>
        <v>0</v>
      </c>
      <c r="G4" s="93">
        <f>IFERROR(LOOKUP(G3,$B$36:$C$44,$D$36:$D$44)+((LOOKUP(G3,$B$36:$C$44,$E$36:$E$44)*(G2-LOOKUP(G3,$B$36:$C$44,$F$36:$F$44)))),0)</f>
        <v>0</v>
      </c>
      <c r="H4" s="93">
        <f>IFERROR(LOOKUP(H3,$B$45:$C$53,$D$45:$D$53)+((LOOKUP(H3,$B$45:$C$53,$E$45:$E$53)*(H2-LOOKUP(H3,$B$45:$C$53,$F$45:$F$53)))),0)</f>
        <v>0</v>
      </c>
      <c r="I4" s="93">
        <f>IFERROR(LOOKUP(I3,$B$54:$C$62,$D$54:$D$62)+((LOOKUP(I3,$B$54:$C$62,$E$54:$E$62)*(I2-LOOKUP(I3,$B$54:$C$62,$F$54:$F$62)))),0)</f>
        <v>0</v>
      </c>
      <c r="J4" s="93">
        <f>IFERROR(LOOKUP(J3,$B$63:$C$71,$D$63:$D$71)+((LOOKUP(J3,$B$63:$C$71,$E$63:$E$71)*(J2-LOOKUP(J3,$B$63:$C$71,$F$63:$F$71)))),0)</f>
        <v>0</v>
      </c>
      <c r="K4" s="93">
        <f>IFERROR(LOOKUP(K3,$B$72:$C$80,$D$72:$D$80)+((LOOKUP(K3,$B$72:$C$80,$E$72:$E$80)*(K2-LOOKUP(K3,$B$72:$C$80,$F$72:$F$80)))),0)</f>
        <v>0</v>
      </c>
      <c r="L4" s="93">
        <f>IFERROR(LOOKUP(L3,$B$81:$C$89,$D$81:$D$89)+((LOOKUP(L3,$B$81:$C$89,$E$81:$E$89)*(L2-LOOKUP(L3,$B$81:$C$89,$F$81:$F$89)))),0)</f>
        <v>0</v>
      </c>
      <c r="M4" s="93">
        <f>IFERROR(LOOKUP(M3,$B$90:$C$98,$D$90:$D$98)+((LOOKUP(M3,$B$90:$C$98,$E$90:$E$98)*(M2-LOOKUP(M3,$B$90:$C$98,$F$90:$F$98)))),0)</f>
        <v>0</v>
      </c>
      <c r="N4" s="93">
        <f>IFERROR(LOOKUP(N3,$B$99:$C$107,$D$99:$D$107)+((LOOKUP(N3,$B$99:$C$107,$E$99:$E$107)*(N2-LOOKUP(N3,$B$99:$C$107,$F$99:$F$107)))),0)</f>
        <v>0</v>
      </c>
      <c r="O4" s="93">
        <f>IFERROR(LOOKUP(O3,$B$108:$C$116,$D$108:$D$116)+((LOOKUP(O3,$B$108:$C$116,$E$108:$E$116)*(O2-LOOKUP(O3,$B$108:$C$116,$F$108:$F$116)))),0)</f>
        <v>0</v>
      </c>
    </row>
    <row r="6" spans="1:15" ht="16.5" customHeight="1" x14ac:dyDescent="0.35">
      <c r="A6" s="158" t="s">
        <v>103</v>
      </c>
      <c r="B6" s="140"/>
      <c r="C6" s="159"/>
      <c r="D6" s="139" t="s">
        <v>104</v>
      </c>
      <c r="E6" s="140"/>
      <c r="F6" s="141"/>
    </row>
    <row r="7" spans="1:15" ht="19.5" customHeight="1" thickBot="1" x14ac:dyDescent="0.4">
      <c r="A7" s="145" t="s">
        <v>105</v>
      </c>
      <c r="B7" s="147" t="s">
        <v>106</v>
      </c>
      <c r="C7" s="148"/>
      <c r="D7" s="149" t="s">
        <v>107</v>
      </c>
      <c r="E7" s="150"/>
      <c r="F7" s="151"/>
    </row>
    <row r="8" spans="1:15" ht="29.5" thickBot="1" x14ac:dyDescent="0.4">
      <c r="A8" s="146"/>
      <c r="B8" s="107" t="s">
        <v>108</v>
      </c>
      <c r="C8" s="107" t="s">
        <v>109</v>
      </c>
      <c r="D8" s="107" t="s">
        <v>110</v>
      </c>
      <c r="E8" s="107" t="s">
        <v>111</v>
      </c>
      <c r="F8" s="108" t="s">
        <v>112</v>
      </c>
      <c r="N8" s="1">
        <v>7048</v>
      </c>
    </row>
    <row r="9" spans="1:15" ht="15" thickBot="1" x14ac:dyDescent="0.4">
      <c r="A9" s="142" t="s">
        <v>2</v>
      </c>
      <c r="B9" s="164">
        <v>0</v>
      </c>
      <c r="C9" s="163">
        <v>14486.22</v>
      </c>
      <c r="D9" s="164">
        <v>0</v>
      </c>
      <c r="E9" s="165">
        <v>0.05</v>
      </c>
      <c r="F9" s="166">
        <v>0</v>
      </c>
    </row>
    <row r="10" spans="1:15" ht="15" thickBot="1" x14ac:dyDescent="0.4">
      <c r="A10" s="143"/>
      <c r="B10" s="163">
        <v>14486.22</v>
      </c>
      <c r="C10" s="163">
        <v>28972.44</v>
      </c>
      <c r="D10" s="163">
        <v>724.31</v>
      </c>
      <c r="E10" s="167">
        <v>0.09</v>
      </c>
      <c r="F10" s="163">
        <v>14486.22</v>
      </c>
      <c r="G10" s="40"/>
      <c r="H10" s="40"/>
    </row>
    <row r="11" spans="1:15" ht="15" thickBot="1" x14ac:dyDescent="0.4">
      <c r="A11" s="143"/>
      <c r="B11" s="163">
        <v>28972.44</v>
      </c>
      <c r="C11" s="163">
        <v>43458.65</v>
      </c>
      <c r="D11" s="163">
        <v>2028.07</v>
      </c>
      <c r="E11" s="167">
        <v>0.12</v>
      </c>
      <c r="F11" s="163">
        <v>28972.44</v>
      </c>
      <c r="G11" s="40"/>
      <c r="H11" s="40"/>
    </row>
    <row r="12" spans="1:15" ht="15" thickBot="1" x14ac:dyDescent="0.4">
      <c r="A12" s="143"/>
      <c r="B12" s="163">
        <v>43458.65</v>
      </c>
      <c r="C12" s="163">
        <v>57944.87</v>
      </c>
      <c r="D12" s="163">
        <v>3766.42</v>
      </c>
      <c r="E12" s="167">
        <v>0.15</v>
      </c>
      <c r="F12" s="163">
        <v>43458.65</v>
      </c>
    </row>
    <row r="13" spans="1:15" ht="15" thickBot="1" x14ac:dyDescent="0.4">
      <c r="A13" s="143"/>
      <c r="B13" s="163">
        <v>57944.87</v>
      </c>
      <c r="C13" s="163">
        <v>86917.31</v>
      </c>
      <c r="D13" s="163">
        <v>5939.35</v>
      </c>
      <c r="E13" s="167">
        <v>0.19</v>
      </c>
      <c r="F13" s="163">
        <v>57944.87</v>
      </c>
    </row>
    <row r="14" spans="1:15" ht="15" thickBot="1" x14ac:dyDescent="0.4">
      <c r="A14" s="143"/>
      <c r="B14" s="163">
        <v>86917.31</v>
      </c>
      <c r="C14" s="163">
        <v>115889.74</v>
      </c>
      <c r="D14" s="163">
        <v>11444.11</v>
      </c>
      <c r="E14" s="167">
        <v>0.23</v>
      </c>
      <c r="F14" s="163">
        <v>86917.31</v>
      </c>
    </row>
    <row r="15" spans="1:15" ht="15" thickBot="1" x14ac:dyDescent="0.4">
      <c r="A15" s="143"/>
      <c r="B15" s="163">
        <v>115889.74</v>
      </c>
      <c r="C15" s="163">
        <v>173834.61</v>
      </c>
      <c r="D15" s="163">
        <v>18107.77</v>
      </c>
      <c r="E15" s="167">
        <v>0.27</v>
      </c>
      <c r="F15" s="163">
        <v>115889.74</v>
      </c>
    </row>
    <row r="16" spans="1:15" ht="15" thickBot="1" x14ac:dyDescent="0.4">
      <c r="A16" s="143"/>
      <c r="B16" s="163">
        <v>173834.61</v>
      </c>
      <c r="C16" s="163">
        <v>231779.49</v>
      </c>
      <c r="D16" s="163">
        <v>33752.89</v>
      </c>
      <c r="E16" s="167">
        <v>0.31</v>
      </c>
      <c r="F16" s="163">
        <v>173834.61</v>
      </c>
    </row>
    <row r="17" spans="1:6" ht="15" thickBot="1" x14ac:dyDescent="0.4">
      <c r="A17" s="144"/>
      <c r="B17" s="163">
        <v>231779.49</v>
      </c>
      <c r="C17" s="169" t="s">
        <v>113</v>
      </c>
      <c r="D17" s="163">
        <v>51715.8</v>
      </c>
      <c r="E17" s="168">
        <v>0.35</v>
      </c>
      <c r="F17" s="163">
        <v>231779.49</v>
      </c>
    </row>
    <row r="18" spans="1:6" ht="15" thickBot="1" x14ac:dyDescent="0.4">
      <c r="A18" s="142" t="s">
        <v>3</v>
      </c>
      <c r="B18" s="164">
        <v>0</v>
      </c>
      <c r="C18" s="163">
        <v>28972.43</v>
      </c>
      <c r="D18" s="164">
        <v>0</v>
      </c>
      <c r="E18" s="165">
        <v>0.05</v>
      </c>
      <c r="F18" s="166">
        <v>0</v>
      </c>
    </row>
    <row r="19" spans="1:6" ht="15" thickBot="1" x14ac:dyDescent="0.4">
      <c r="A19" s="143"/>
      <c r="B19" s="163">
        <v>28972.43</v>
      </c>
      <c r="C19" s="163">
        <v>57944.87</v>
      </c>
      <c r="D19" s="163">
        <v>1448.62</v>
      </c>
      <c r="E19" s="167">
        <v>0.09</v>
      </c>
      <c r="F19" s="163">
        <v>28972.43</v>
      </c>
    </row>
    <row r="20" spans="1:6" ht="15" thickBot="1" x14ac:dyDescent="0.4">
      <c r="A20" s="143"/>
      <c r="B20" s="163">
        <v>57944.87</v>
      </c>
      <c r="C20" s="163">
        <v>86917.31</v>
      </c>
      <c r="D20" s="163">
        <v>4056.14</v>
      </c>
      <c r="E20" s="167">
        <v>0.12</v>
      </c>
      <c r="F20" s="163">
        <v>57944.87</v>
      </c>
    </row>
    <row r="21" spans="1:6" ht="15" thickBot="1" x14ac:dyDescent="0.4">
      <c r="A21" s="143"/>
      <c r="B21" s="163">
        <v>86917.31</v>
      </c>
      <c r="C21" s="163">
        <v>115889.74</v>
      </c>
      <c r="D21" s="163">
        <v>7532.83</v>
      </c>
      <c r="E21" s="167">
        <v>0.15</v>
      </c>
      <c r="F21" s="163">
        <v>86917.31</v>
      </c>
    </row>
    <row r="22" spans="1:6" ht="15" thickBot="1" x14ac:dyDescent="0.4">
      <c r="A22" s="143"/>
      <c r="B22" s="163">
        <v>115889.74</v>
      </c>
      <c r="C22" s="163">
        <v>173834.61</v>
      </c>
      <c r="D22" s="163">
        <v>11878.7</v>
      </c>
      <c r="E22" s="167">
        <v>0.19</v>
      </c>
      <c r="F22" s="163">
        <v>115889.74</v>
      </c>
    </row>
    <row r="23" spans="1:6" ht="15" thickBot="1" x14ac:dyDescent="0.4">
      <c r="A23" s="143"/>
      <c r="B23" s="163">
        <v>173834.61</v>
      </c>
      <c r="C23" s="163">
        <v>231779.48</v>
      </c>
      <c r="D23" s="163">
        <v>22888.22</v>
      </c>
      <c r="E23" s="167">
        <v>0.23</v>
      </c>
      <c r="F23" s="163">
        <v>173834.61</v>
      </c>
    </row>
    <row r="24" spans="1:6" ht="15" thickBot="1" x14ac:dyDescent="0.4">
      <c r="A24" s="143"/>
      <c r="B24" s="163">
        <v>231779.48</v>
      </c>
      <c r="C24" s="163">
        <v>347669.22</v>
      </c>
      <c r="D24" s="163">
        <v>36215.54</v>
      </c>
      <c r="E24" s="167">
        <v>0.27</v>
      </c>
      <c r="F24" s="163">
        <v>231779.48</v>
      </c>
    </row>
    <row r="25" spans="1:6" ht="15" thickBot="1" x14ac:dyDescent="0.4">
      <c r="A25" s="143"/>
      <c r="B25" s="163">
        <v>347669.22</v>
      </c>
      <c r="C25" s="163">
        <v>463558.97</v>
      </c>
      <c r="D25" s="163">
        <v>67505.77</v>
      </c>
      <c r="E25" s="167">
        <v>0.31</v>
      </c>
      <c r="F25" s="163">
        <v>347669.22</v>
      </c>
    </row>
    <row r="26" spans="1:6" ht="15" thickBot="1" x14ac:dyDescent="0.4">
      <c r="A26" s="144"/>
      <c r="B26" s="163">
        <v>463558.97</v>
      </c>
      <c r="C26" s="169" t="s">
        <v>113</v>
      </c>
      <c r="D26" s="163">
        <v>103431.6</v>
      </c>
      <c r="E26" s="168">
        <v>0.35</v>
      </c>
      <c r="F26" s="163">
        <v>463558.97</v>
      </c>
    </row>
    <row r="27" spans="1:6" ht="15" thickBot="1" x14ac:dyDescent="0.4">
      <c r="A27" s="142" t="s">
        <v>4</v>
      </c>
      <c r="B27" s="164">
        <v>0</v>
      </c>
      <c r="C27" s="163">
        <v>43458.65</v>
      </c>
      <c r="D27" s="164">
        <v>0</v>
      </c>
      <c r="E27" s="165">
        <v>0.05</v>
      </c>
      <c r="F27" s="166">
        <v>0</v>
      </c>
    </row>
    <row r="28" spans="1:6" ht="15" thickBot="1" x14ac:dyDescent="0.4">
      <c r="A28" s="143"/>
      <c r="B28" s="163">
        <v>43458.65</v>
      </c>
      <c r="C28" s="163">
        <v>86917.31</v>
      </c>
      <c r="D28" s="163">
        <v>2172.9299999999998</v>
      </c>
      <c r="E28" s="167">
        <v>0.09</v>
      </c>
      <c r="F28" s="163">
        <v>43458.65</v>
      </c>
    </row>
    <row r="29" spans="1:6" ht="15" thickBot="1" x14ac:dyDescent="0.4">
      <c r="A29" s="143"/>
      <c r="B29" s="163">
        <v>86917.31</v>
      </c>
      <c r="C29" s="163">
        <v>130375.96</v>
      </c>
      <c r="D29" s="163">
        <v>6084.21</v>
      </c>
      <c r="E29" s="167">
        <v>0.12</v>
      </c>
      <c r="F29" s="163">
        <v>86917.31</v>
      </c>
    </row>
    <row r="30" spans="1:6" ht="15" thickBot="1" x14ac:dyDescent="0.4">
      <c r="A30" s="143"/>
      <c r="B30" s="163">
        <v>130375.96</v>
      </c>
      <c r="C30" s="163">
        <v>173834.62</v>
      </c>
      <c r="D30" s="163">
        <v>11299.25</v>
      </c>
      <c r="E30" s="167">
        <v>0.15</v>
      </c>
      <c r="F30" s="163">
        <v>130375.96</v>
      </c>
    </row>
    <row r="31" spans="1:6" ht="15" thickBot="1" x14ac:dyDescent="0.4">
      <c r="A31" s="143"/>
      <c r="B31" s="163">
        <v>173834.62</v>
      </c>
      <c r="C31" s="163">
        <v>260751.92</v>
      </c>
      <c r="D31" s="163">
        <v>17818.05</v>
      </c>
      <c r="E31" s="167">
        <v>0.19</v>
      </c>
      <c r="F31" s="163">
        <v>173834.62</v>
      </c>
    </row>
    <row r="32" spans="1:6" ht="15" thickBot="1" x14ac:dyDescent="0.4">
      <c r="A32" s="143"/>
      <c r="B32" s="163">
        <v>260751.92</v>
      </c>
      <c r="C32" s="163">
        <v>347669.22</v>
      </c>
      <c r="D32" s="163">
        <v>34332.339999999997</v>
      </c>
      <c r="E32" s="167">
        <v>0.23</v>
      </c>
      <c r="F32" s="163">
        <v>260751.92</v>
      </c>
    </row>
    <row r="33" spans="1:6" ht="15" thickBot="1" x14ac:dyDescent="0.4">
      <c r="A33" s="143"/>
      <c r="B33" s="163">
        <v>347669.22</v>
      </c>
      <c r="C33" s="163">
        <v>521503.84</v>
      </c>
      <c r="D33" s="163">
        <v>54323.32</v>
      </c>
      <c r="E33" s="167">
        <v>0.27</v>
      </c>
      <c r="F33" s="163">
        <v>347669.22</v>
      </c>
    </row>
    <row r="34" spans="1:6" ht="15" thickBot="1" x14ac:dyDescent="0.4">
      <c r="A34" s="143"/>
      <c r="B34" s="163">
        <v>521503.84</v>
      </c>
      <c r="C34" s="163">
        <v>695338.46</v>
      </c>
      <c r="D34" s="163">
        <v>101258.66</v>
      </c>
      <c r="E34" s="167">
        <v>0.31</v>
      </c>
      <c r="F34" s="163">
        <v>521503.84</v>
      </c>
    </row>
    <row r="35" spans="1:6" ht="15" thickBot="1" x14ac:dyDescent="0.4">
      <c r="A35" s="144"/>
      <c r="B35" s="163">
        <v>695338.46</v>
      </c>
      <c r="C35" s="169" t="s">
        <v>113</v>
      </c>
      <c r="D35" s="163">
        <v>155147.4</v>
      </c>
      <c r="E35" s="168">
        <v>0.35</v>
      </c>
      <c r="F35" s="163">
        <v>695338.46</v>
      </c>
    </row>
    <row r="36" spans="1:6" ht="15" thickBot="1" x14ac:dyDescent="0.4">
      <c r="A36" s="142" t="s">
        <v>5</v>
      </c>
      <c r="B36" s="164">
        <v>0</v>
      </c>
      <c r="C36" s="163">
        <v>57944.87</v>
      </c>
      <c r="D36" s="164">
        <v>0</v>
      </c>
      <c r="E36" s="165">
        <v>0.05</v>
      </c>
      <c r="F36" s="166">
        <v>0</v>
      </c>
    </row>
    <row r="37" spans="1:6" ht="15.75" customHeight="1" thickBot="1" x14ac:dyDescent="0.4">
      <c r="A37" s="143"/>
      <c r="B37" s="163">
        <v>57944.87</v>
      </c>
      <c r="C37" s="163">
        <v>115889.74</v>
      </c>
      <c r="D37" s="163">
        <v>2897.24</v>
      </c>
      <c r="E37" s="167">
        <v>0.09</v>
      </c>
      <c r="F37" s="163">
        <v>57944.87</v>
      </c>
    </row>
    <row r="38" spans="1:6" ht="15.75" customHeight="1" thickBot="1" x14ac:dyDescent="0.4">
      <c r="A38" s="143"/>
      <c r="B38" s="163">
        <v>115889.74</v>
      </c>
      <c r="C38" s="163">
        <v>173834.61</v>
      </c>
      <c r="D38" s="163">
        <v>8112.28</v>
      </c>
      <c r="E38" s="167">
        <v>0.12</v>
      </c>
      <c r="F38" s="163">
        <v>115889.74</v>
      </c>
    </row>
    <row r="39" spans="1:6" ht="15.75" customHeight="1" thickBot="1" x14ac:dyDescent="0.4">
      <c r="A39" s="143"/>
      <c r="B39" s="163">
        <v>173834.61</v>
      </c>
      <c r="C39" s="163">
        <v>231779.49</v>
      </c>
      <c r="D39" s="163">
        <v>15065.67</v>
      </c>
      <c r="E39" s="167">
        <v>0.15</v>
      </c>
      <c r="F39" s="163">
        <v>173834.61</v>
      </c>
    </row>
    <row r="40" spans="1:6" ht="15.75" customHeight="1" thickBot="1" x14ac:dyDescent="0.4">
      <c r="A40" s="143"/>
      <c r="B40" s="163">
        <v>231779.49</v>
      </c>
      <c r="C40" s="163">
        <v>347669.23</v>
      </c>
      <c r="D40" s="163">
        <v>23757.4</v>
      </c>
      <c r="E40" s="167">
        <v>0.19</v>
      </c>
      <c r="F40" s="163">
        <v>231779.49</v>
      </c>
    </row>
    <row r="41" spans="1:6" ht="15.75" customHeight="1" thickBot="1" x14ac:dyDescent="0.4">
      <c r="A41" s="143"/>
      <c r="B41" s="163">
        <v>347669.23</v>
      </c>
      <c r="C41" s="163">
        <v>463558.97</v>
      </c>
      <c r="D41" s="163">
        <v>45776.45</v>
      </c>
      <c r="E41" s="167">
        <v>0.23</v>
      </c>
      <c r="F41" s="163">
        <v>347669.23</v>
      </c>
    </row>
    <row r="42" spans="1:6" ht="15.75" customHeight="1" thickBot="1" x14ac:dyDescent="0.4">
      <c r="A42" s="143"/>
      <c r="B42" s="163">
        <v>463558.97</v>
      </c>
      <c r="C42" s="163">
        <v>695338.45</v>
      </c>
      <c r="D42" s="163">
        <v>72431.09</v>
      </c>
      <c r="E42" s="167">
        <v>0.27</v>
      </c>
      <c r="F42" s="163">
        <v>463558.97</v>
      </c>
    </row>
    <row r="43" spans="1:6" ht="15.75" customHeight="1" thickBot="1" x14ac:dyDescent="0.4">
      <c r="A43" s="143"/>
      <c r="B43" s="163">
        <v>695338.45</v>
      </c>
      <c r="C43" s="163">
        <v>927117.95</v>
      </c>
      <c r="D43" s="163">
        <v>135011.54999999999</v>
      </c>
      <c r="E43" s="167">
        <v>0.31</v>
      </c>
      <c r="F43" s="163">
        <v>695338.45</v>
      </c>
    </row>
    <row r="44" spans="1:6" ht="15.75" customHeight="1" thickBot="1" x14ac:dyDescent="0.4">
      <c r="A44" s="144"/>
      <c r="B44" s="163">
        <v>927117.95</v>
      </c>
      <c r="C44" s="169" t="s">
        <v>113</v>
      </c>
      <c r="D44" s="163">
        <v>206863.19</v>
      </c>
      <c r="E44" s="168">
        <v>0.35</v>
      </c>
      <c r="F44" s="163">
        <v>927117.95</v>
      </c>
    </row>
    <row r="45" spans="1:6" ht="15" thickBot="1" x14ac:dyDescent="0.4">
      <c r="A45" s="142" t="s">
        <v>6</v>
      </c>
      <c r="B45" s="164">
        <v>0</v>
      </c>
      <c r="C45" s="163">
        <v>72431.09</v>
      </c>
      <c r="D45" s="164">
        <v>0</v>
      </c>
      <c r="E45" s="165">
        <v>0.05</v>
      </c>
      <c r="F45" s="166">
        <v>0</v>
      </c>
    </row>
    <row r="46" spans="1:6" ht="15" thickBot="1" x14ac:dyDescent="0.4">
      <c r="A46" s="143"/>
      <c r="B46" s="163">
        <v>72431.09</v>
      </c>
      <c r="C46" s="163">
        <v>144862.18</v>
      </c>
      <c r="D46" s="163">
        <v>3621.55</v>
      </c>
      <c r="E46" s="167">
        <v>0.09</v>
      </c>
      <c r="F46" s="163">
        <v>72431.09</v>
      </c>
    </row>
    <row r="47" spans="1:6" ht="15" thickBot="1" x14ac:dyDescent="0.4">
      <c r="A47" s="143"/>
      <c r="B47" s="163">
        <v>144862.18</v>
      </c>
      <c r="C47" s="163">
        <v>217293.27</v>
      </c>
      <c r="D47" s="163">
        <v>10140.35</v>
      </c>
      <c r="E47" s="167">
        <v>0.12</v>
      </c>
      <c r="F47" s="163">
        <v>144862.18</v>
      </c>
    </row>
    <row r="48" spans="1:6" ht="15" thickBot="1" x14ac:dyDescent="0.4">
      <c r="A48" s="143"/>
      <c r="B48" s="163">
        <v>217293.27</v>
      </c>
      <c r="C48" s="163">
        <v>289724.36</v>
      </c>
      <c r="D48" s="163">
        <v>18832.080000000002</v>
      </c>
      <c r="E48" s="167">
        <v>0.15</v>
      </c>
      <c r="F48" s="163">
        <v>217293.27</v>
      </c>
    </row>
    <row r="49" spans="1:6" ht="15" thickBot="1" x14ac:dyDescent="0.4">
      <c r="A49" s="143"/>
      <c r="B49" s="163">
        <v>289724.36</v>
      </c>
      <c r="C49" s="163">
        <v>434586.53</v>
      </c>
      <c r="D49" s="163">
        <v>29696.75</v>
      </c>
      <c r="E49" s="167">
        <v>0.19</v>
      </c>
      <c r="F49" s="163">
        <v>289724.36</v>
      </c>
    </row>
    <row r="50" spans="1:6" ht="15" thickBot="1" x14ac:dyDescent="0.4">
      <c r="A50" s="143"/>
      <c r="B50" s="163">
        <v>434586.53</v>
      </c>
      <c r="C50" s="163">
        <v>579448.71</v>
      </c>
      <c r="D50" s="163">
        <v>57220.56</v>
      </c>
      <c r="E50" s="167">
        <v>0.23</v>
      </c>
      <c r="F50" s="163">
        <v>434586.53</v>
      </c>
    </row>
    <row r="51" spans="1:6" ht="15" thickBot="1" x14ac:dyDescent="0.4">
      <c r="A51" s="143"/>
      <c r="B51" s="163">
        <v>579448.71</v>
      </c>
      <c r="C51" s="163">
        <v>869173.06</v>
      </c>
      <c r="D51" s="163">
        <v>90538.86</v>
      </c>
      <c r="E51" s="167">
        <v>0.27</v>
      </c>
      <c r="F51" s="163">
        <v>579448.71</v>
      </c>
    </row>
    <row r="52" spans="1:6" ht="15" thickBot="1" x14ac:dyDescent="0.4">
      <c r="A52" s="143"/>
      <c r="B52" s="163">
        <v>869173.06</v>
      </c>
      <c r="C52" s="163">
        <v>1158897.44</v>
      </c>
      <c r="D52" s="163">
        <v>168764.44</v>
      </c>
      <c r="E52" s="167">
        <v>0.31</v>
      </c>
      <c r="F52" s="163">
        <v>869173.06</v>
      </c>
    </row>
    <row r="53" spans="1:6" ht="15" thickBot="1" x14ac:dyDescent="0.4">
      <c r="A53" s="144"/>
      <c r="B53" s="163">
        <v>1158897.44</v>
      </c>
      <c r="C53" s="169" t="s">
        <v>113</v>
      </c>
      <c r="D53" s="163">
        <v>258578.99</v>
      </c>
      <c r="E53" s="168">
        <v>0.35</v>
      </c>
      <c r="F53" s="163">
        <v>1158897.44</v>
      </c>
    </row>
    <row r="54" spans="1:6" ht="15" thickBot="1" x14ac:dyDescent="0.4">
      <c r="A54" s="142" t="s">
        <v>7</v>
      </c>
      <c r="B54" s="164">
        <v>0</v>
      </c>
      <c r="C54" s="163">
        <v>86917.3</v>
      </c>
      <c r="D54" s="164">
        <v>0</v>
      </c>
      <c r="E54" s="165">
        <v>0.05</v>
      </c>
      <c r="F54" s="166">
        <v>0</v>
      </c>
    </row>
    <row r="55" spans="1:6" ht="15" thickBot="1" x14ac:dyDescent="0.4">
      <c r="A55" s="143"/>
      <c r="B55" s="163">
        <v>86917.3</v>
      </c>
      <c r="C55" s="163">
        <v>173834.62</v>
      </c>
      <c r="D55" s="163">
        <v>4345.87</v>
      </c>
      <c r="E55" s="167">
        <v>0.09</v>
      </c>
      <c r="F55" s="163">
        <v>86917.3</v>
      </c>
    </row>
    <row r="56" spans="1:6" ht="15" thickBot="1" x14ac:dyDescent="0.4">
      <c r="A56" s="143"/>
      <c r="B56" s="163">
        <v>173834.62</v>
      </c>
      <c r="C56" s="163">
        <v>260751.92</v>
      </c>
      <c r="D56" s="163">
        <v>12168.42</v>
      </c>
      <c r="E56" s="167">
        <v>0.12</v>
      </c>
      <c r="F56" s="163">
        <v>173834.62</v>
      </c>
    </row>
    <row r="57" spans="1:6" ht="15" thickBot="1" x14ac:dyDescent="0.4">
      <c r="A57" s="143"/>
      <c r="B57" s="163">
        <v>260751.92</v>
      </c>
      <c r="C57" s="163">
        <v>347669.23</v>
      </c>
      <c r="D57" s="163">
        <v>22598.5</v>
      </c>
      <c r="E57" s="167">
        <v>0.15</v>
      </c>
      <c r="F57" s="163">
        <v>260751.92</v>
      </c>
    </row>
    <row r="58" spans="1:6" ht="15" thickBot="1" x14ac:dyDescent="0.4">
      <c r="A58" s="143"/>
      <c r="B58" s="163">
        <v>347669.23</v>
      </c>
      <c r="C58" s="163">
        <v>521503.84</v>
      </c>
      <c r="D58" s="163">
        <v>35636.1</v>
      </c>
      <c r="E58" s="167">
        <v>0.19</v>
      </c>
      <c r="F58" s="163">
        <v>347669.23</v>
      </c>
    </row>
    <row r="59" spans="1:6" ht="15" thickBot="1" x14ac:dyDescent="0.4">
      <c r="A59" s="143"/>
      <c r="B59" s="163">
        <v>521503.84</v>
      </c>
      <c r="C59" s="163">
        <v>695338.45</v>
      </c>
      <c r="D59" s="163">
        <v>68664.67</v>
      </c>
      <c r="E59" s="167">
        <v>0.23</v>
      </c>
      <c r="F59" s="163">
        <v>521503.84</v>
      </c>
    </row>
    <row r="60" spans="1:6" ht="15" thickBot="1" x14ac:dyDescent="0.4">
      <c r="A60" s="143"/>
      <c r="B60" s="163">
        <v>695338.45</v>
      </c>
      <c r="C60" s="163">
        <v>1043007.67</v>
      </c>
      <c r="D60" s="163">
        <v>108646.63</v>
      </c>
      <c r="E60" s="167">
        <v>0.27</v>
      </c>
      <c r="F60" s="163">
        <v>695338.45</v>
      </c>
    </row>
    <row r="61" spans="1:6" ht="15" thickBot="1" x14ac:dyDescent="0.4">
      <c r="A61" s="143"/>
      <c r="B61" s="163">
        <v>1043007.67</v>
      </c>
      <c r="C61" s="163">
        <v>1390676.92</v>
      </c>
      <c r="D61" s="163">
        <v>202517.32</v>
      </c>
      <c r="E61" s="167">
        <v>0.31</v>
      </c>
      <c r="F61" s="163">
        <v>1043007.67</v>
      </c>
    </row>
    <row r="62" spans="1:6" ht="15" thickBot="1" x14ac:dyDescent="0.4">
      <c r="A62" s="144"/>
      <c r="B62" s="163">
        <v>1390676.92</v>
      </c>
      <c r="C62" s="169" t="s">
        <v>113</v>
      </c>
      <c r="D62" s="163">
        <v>310294.78999999998</v>
      </c>
      <c r="E62" s="168">
        <v>0.35</v>
      </c>
      <c r="F62" s="163">
        <v>1390676.92</v>
      </c>
    </row>
    <row r="63" spans="1:6" ht="15" thickBot="1" x14ac:dyDescent="0.4">
      <c r="A63" s="142" t="s">
        <v>8</v>
      </c>
      <c r="B63" s="164">
        <v>0</v>
      </c>
      <c r="C63" s="163">
        <v>101403.52</v>
      </c>
      <c r="D63" s="164">
        <v>0</v>
      </c>
      <c r="E63" s="165">
        <v>0.05</v>
      </c>
      <c r="F63" s="166">
        <v>0</v>
      </c>
    </row>
    <row r="64" spans="1:6" ht="15" thickBot="1" x14ac:dyDescent="0.4">
      <c r="A64" s="143"/>
      <c r="B64" s="163">
        <v>101403.52</v>
      </c>
      <c r="C64" s="163">
        <v>202807.05</v>
      </c>
      <c r="D64" s="163">
        <v>5070.18</v>
      </c>
      <c r="E64" s="167">
        <v>0.09</v>
      </c>
      <c r="F64" s="163">
        <v>101403.52</v>
      </c>
    </row>
    <row r="65" spans="1:6" ht="15" thickBot="1" x14ac:dyDescent="0.4">
      <c r="A65" s="143"/>
      <c r="B65" s="163">
        <v>202807.05</v>
      </c>
      <c r="C65" s="163">
        <v>304210.57</v>
      </c>
      <c r="D65" s="163">
        <v>14196.49</v>
      </c>
      <c r="E65" s="167">
        <v>0.12</v>
      </c>
      <c r="F65" s="163">
        <v>202807.05</v>
      </c>
    </row>
    <row r="66" spans="1:6" ht="15" thickBot="1" x14ac:dyDescent="0.4">
      <c r="A66" s="143"/>
      <c r="B66" s="163">
        <v>304210.57</v>
      </c>
      <c r="C66" s="163">
        <v>405614.11</v>
      </c>
      <c r="D66" s="163">
        <v>26364.92</v>
      </c>
      <c r="E66" s="167">
        <v>0.15</v>
      </c>
      <c r="F66" s="163">
        <v>304210.57</v>
      </c>
    </row>
    <row r="67" spans="1:6" ht="15" thickBot="1" x14ac:dyDescent="0.4">
      <c r="A67" s="143"/>
      <c r="B67" s="163">
        <v>405614.11</v>
      </c>
      <c r="C67" s="163">
        <v>608421.15</v>
      </c>
      <c r="D67" s="163">
        <v>41575.449999999997</v>
      </c>
      <c r="E67" s="167">
        <v>0.19</v>
      </c>
      <c r="F67" s="163">
        <v>405614.11</v>
      </c>
    </row>
    <row r="68" spans="1:6" ht="15" thickBot="1" x14ac:dyDescent="0.4">
      <c r="A68" s="143"/>
      <c r="B68" s="163">
        <v>608421.15</v>
      </c>
      <c r="C68" s="163">
        <v>811228.19</v>
      </c>
      <c r="D68" s="163">
        <v>80108.78</v>
      </c>
      <c r="E68" s="167">
        <v>0.23</v>
      </c>
      <c r="F68" s="163">
        <v>608421.15</v>
      </c>
    </row>
    <row r="69" spans="1:6" ht="15" thickBot="1" x14ac:dyDescent="0.4">
      <c r="A69" s="143"/>
      <c r="B69" s="163">
        <v>811228.19</v>
      </c>
      <c r="C69" s="163">
        <v>1216842.28</v>
      </c>
      <c r="D69" s="163">
        <v>126754.4</v>
      </c>
      <c r="E69" s="167">
        <v>0.27</v>
      </c>
      <c r="F69" s="163">
        <v>811228.19</v>
      </c>
    </row>
    <row r="70" spans="1:6" ht="15" thickBot="1" x14ac:dyDescent="0.4">
      <c r="A70" s="143"/>
      <c r="B70" s="163">
        <v>1216842.28</v>
      </c>
      <c r="C70" s="163">
        <v>1622456.41</v>
      </c>
      <c r="D70" s="163">
        <v>236270.21</v>
      </c>
      <c r="E70" s="167">
        <v>0.31</v>
      </c>
      <c r="F70" s="163">
        <v>1216842.28</v>
      </c>
    </row>
    <row r="71" spans="1:6" ht="15" thickBot="1" x14ac:dyDescent="0.4">
      <c r="A71" s="144"/>
      <c r="B71" s="163">
        <v>1622456.41</v>
      </c>
      <c r="C71" s="169" t="s">
        <v>113</v>
      </c>
      <c r="D71" s="163">
        <v>362010.59</v>
      </c>
      <c r="E71" s="168">
        <v>0.35</v>
      </c>
      <c r="F71" s="163">
        <v>1622456.41</v>
      </c>
    </row>
    <row r="72" spans="1:6" ht="15" thickBot="1" x14ac:dyDescent="0.4">
      <c r="A72" s="142" t="s">
        <v>9</v>
      </c>
      <c r="B72" s="164">
        <v>0</v>
      </c>
      <c r="C72" s="163">
        <v>115889.74</v>
      </c>
      <c r="D72" s="164">
        <v>0</v>
      </c>
      <c r="E72" s="165">
        <v>0.05</v>
      </c>
      <c r="F72" s="166">
        <v>0</v>
      </c>
    </row>
    <row r="73" spans="1:6" ht="15" thickBot="1" x14ac:dyDescent="0.4">
      <c r="A73" s="143"/>
      <c r="B73" s="163">
        <v>115889.74</v>
      </c>
      <c r="C73" s="163">
        <v>231779.49</v>
      </c>
      <c r="D73" s="163">
        <v>5794.49</v>
      </c>
      <c r="E73" s="167">
        <v>0.09</v>
      </c>
      <c r="F73" s="163">
        <v>115889.74</v>
      </c>
    </row>
    <row r="74" spans="1:6" ht="15" thickBot="1" x14ac:dyDescent="0.4">
      <c r="A74" s="143"/>
      <c r="B74" s="163">
        <v>231779.49</v>
      </c>
      <c r="C74" s="163">
        <v>347669.23</v>
      </c>
      <c r="D74" s="163">
        <v>16224.56</v>
      </c>
      <c r="E74" s="167">
        <v>0.12</v>
      </c>
      <c r="F74" s="163">
        <v>231779.49</v>
      </c>
    </row>
    <row r="75" spans="1:6" ht="15" thickBot="1" x14ac:dyDescent="0.4">
      <c r="A75" s="143"/>
      <c r="B75" s="163">
        <v>347669.23</v>
      </c>
      <c r="C75" s="163">
        <v>463558.98</v>
      </c>
      <c r="D75" s="163">
        <v>30131.33</v>
      </c>
      <c r="E75" s="167">
        <v>0.15</v>
      </c>
      <c r="F75" s="163">
        <v>347669.23</v>
      </c>
    </row>
    <row r="76" spans="1:6" ht="15" thickBot="1" x14ac:dyDescent="0.4">
      <c r="A76" s="143"/>
      <c r="B76" s="163">
        <v>463558.98</v>
      </c>
      <c r="C76" s="163">
        <v>695338.45</v>
      </c>
      <c r="D76" s="163">
        <v>47514.8</v>
      </c>
      <c r="E76" s="167">
        <v>0.19</v>
      </c>
      <c r="F76" s="163">
        <v>463558.98</v>
      </c>
    </row>
    <row r="77" spans="1:6" ht="15" thickBot="1" x14ac:dyDescent="0.4">
      <c r="A77" s="143"/>
      <c r="B77" s="163">
        <v>695338.45</v>
      </c>
      <c r="C77" s="163">
        <v>927117.93</v>
      </c>
      <c r="D77" s="163">
        <v>91552.9</v>
      </c>
      <c r="E77" s="167">
        <v>0.23</v>
      </c>
      <c r="F77" s="163">
        <v>695338.45</v>
      </c>
    </row>
    <row r="78" spans="1:6" ht="15" thickBot="1" x14ac:dyDescent="0.4">
      <c r="A78" s="143"/>
      <c r="B78" s="163">
        <v>927117.93</v>
      </c>
      <c r="C78" s="163">
        <v>1390676.9</v>
      </c>
      <c r="D78" s="163">
        <v>144862.18</v>
      </c>
      <c r="E78" s="167">
        <v>0.27</v>
      </c>
      <c r="F78" s="163">
        <v>927117.93</v>
      </c>
    </row>
    <row r="79" spans="1:6" ht="15" thickBot="1" x14ac:dyDescent="0.4">
      <c r="A79" s="143"/>
      <c r="B79" s="163">
        <v>1390676.9</v>
      </c>
      <c r="C79" s="163">
        <v>1854235.9</v>
      </c>
      <c r="D79" s="163">
        <v>270023.09999999998</v>
      </c>
      <c r="E79" s="167">
        <v>0.31</v>
      </c>
      <c r="F79" s="163">
        <v>1390676.9</v>
      </c>
    </row>
    <row r="80" spans="1:6" ht="15" thickBot="1" x14ac:dyDescent="0.4">
      <c r="A80" s="144"/>
      <c r="B80" s="163">
        <v>1854235.9</v>
      </c>
      <c r="C80" s="169" t="s">
        <v>113</v>
      </c>
      <c r="D80" s="163">
        <v>413726.39</v>
      </c>
      <c r="E80" s="168">
        <v>0.35</v>
      </c>
      <c r="F80" s="163">
        <v>1854235.9</v>
      </c>
    </row>
    <row r="81" spans="1:6" ht="15" thickBot="1" x14ac:dyDescent="0.4">
      <c r="A81" s="142" t="s">
        <v>114</v>
      </c>
      <c r="B81" s="164">
        <v>0</v>
      </c>
      <c r="C81" s="163">
        <v>130375.96</v>
      </c>
      <c r="D81" s="164">
        <v>0</v>
      </c>
      <c r="E81" s="165">
        <v>0.05</v>
      </c>
      <c r="F81" s="166">
        <v>0</v>
      </c>
    </row>
    <row r="82" spans="1:6" ht="15" thickBot="1" x14ac:dyDescent="0.4">
      <c r="A82" s="143"/>
      <c r="B82" s="163">
        <v>130375.96</v>
      </c>
      <c r="C82" s="163">
        <v>260751.92</v>
      </c>
      <c r="D82" s="163">
        <v>6518.8</v>
      </c>
      <c r="E82" s="167">
        <v>0.09</v>
      </c>
      <c r="F82" s="163">
        <v>130375.96</v>
      </c>
    </row>
    <row r="83" spans="1:6" ht="15" thickBot="1" x14ac:dyDescent="0.4">
      <c r="A83" s="143"/>
      <c r="B83" s="163">
        <v>260751.92</v>
      </c>
      <c r="C83" s="163">
        <v>391127.88</v>
      </c>
      <c r="D83" s="163">
        <v>18252.64</v>
      </c>
      <c r="E83" s="167">
        <v>0.12</v>
      </c>
      <c r="F83" s="163">
        <v>260751.92</v>
      </c>
    </row>
    <row r="84" spans="1:6" ht="15" thickBot="1" x14ac:dyDescent="0.4">
      <c r="A84" s="143"/>
      <c r="B84" s="163">
        <v>391127.88</v>
      </c>
      <c r="C84" s="163">
        <v>521503.85</v>
      </c>
      <c r="D84" s="163">
        <v>33897.75</v>
      </c>
      <c r="E84" s="167">
        <v>0.15</v>
      </c>
      <c r="F84" s="163">
        <v>391127.88</v>
      </c>
    </row>
    <row r="85" spans="1:6" ht="15" thickBot="1" x14ac:dyDescent="0.4">
      <c r="A85" s="143"/>
      <c r="B85" s="163">
        <v>521503.85</v>
      </c>
      <c r="C85" s="163">
        <v>782255.76</v>
      </c>
      <c r="D85" s="163">
        <v>53454.15</v>
      </c>
      <c r="E85" s="167">
        <v>0.19</v>
      </c>
      <c r="F85" s="163">
        <v>521503.85</v>
      </c>
    </row>
    <row r="86" spans="1:6" ht="15" thickBot="1" x14ac:dyDescent="0.4">
      <c r="A86" s="143"/>
      <c r="B86" s="163">
        <v>782255.76</v>
      </c>
      <c r="C86" s="163">
        <v>1043007.67</v>
      </c>
      <c r="D86" s="163">
        <v>102997.01</v>
      </c>
      <c r="E86" s="167">
        <v>0.23</v>
      </c>
      <c r="F86" s="163">
        <v>782255.76</v>
      </c>
    </row>
    <row r="87" spans="1:6" ht="15" thickBot="1" x14ac:dyDescent="0.4">
      <c r="A87" s="143"/>
      <c r="B87" s="163">
        <v>1043007.67</v>
      </c>
      <c r="C87" s="163">
        <v>1564511.51</v>
      </c>
      <c r="D87" s="163">
        <v>162969.95000000001</v>
      </c>
      <c r="E87" s="167">
        <v>0.27</v>
      </c>
      <c r="F87" s="163">
        <v>1043007.67</v>
      </c>
    </row>
    <row r="88" spans="1:6" ht="15" thickBot="1" x14ac:dyDescent="0.4">
      <c r="A88" s="143"/>
      <c r="B88" s="163">
        <v>1564511.51</v>
      </c>
      <c r="C88" s="163">
        <v>2086015.39</v>
      </c>
      <c r="D88" s="163">
        <v>303775.98</v>
      </c>
      <c r="E88" s="167">
        <v>0.31</v>
      </c>
      <c r="F88" s="163">
        <v>1564511.51</v>
      </c>
    </row>
    <row r="89" spans="1:6" ht="15" thickBot="1" x14ac:dyDescent="0.4">
      <c r="A89" s="144"/>
      <c r="B89" s="163">
        <v>2086015.39</v>
      </c>
      <c r="C89" s="169" t="s">
        <v>113</v>
      </c>
      <c r="D89" s="163">
        <v>465442.19</v>
      </c>
      <c r="E89" s="168">
        <v>0.35</v>
      </c>
      <c r="F89" s="163">
        <v>2086015.39</v>
      </c>
    </row>
    <row r="90" spans="1:6" ht="15" thickBot="1" x14ac:dyDescent="0.4">
      <c r="A90" s="142" t="s">
        <v>11</v>
      </c>
      <c r="B90" s="164">
        <v>0</v>
      </c>
      <c r="C90" s="163">
        <v>144862.17000000001</v>
      </c>
      <c r="D90" s="164">
        <v>0</v>
      </c>
      <c r="E90" s="165">
        <v>0.05</v>
      </c>
      <c r="F90" s="166">
        <v>0</v>
      </c>
    </row>
    <row r="91" spans="1:6" ht="15" thickBot="1" x14ac:dyDescent="0.4">
      <c r="A91" s="143"/>
      <c r="B91" s="163">
        <v>144862.17000000001</v>
      </c>
      <c r="C91" s="163">
        <v>289724.36</v>
      </c>
      <c r="D91" s="163">
        <v>7243.11</v>
      </c>
      <c r="E91" s="167">
        <v>0.09</v>
      </c>
      <c r="F91" s="163">
        <v>144862.17000000001</v>
      </c>
    </row>
    <row r="92" spans="1:6" ht="15" thickBot="1" x14ac:dyDescent="0.4">
      <c r="A92" s="143"/>
      <c r="B92" s="163">
        <v>289724.36</v>
      </c>
      <c r="C92" s="163">
        <v>434586.53</v>
      </c>
      <c r="D92" s="163">
        <v>20280.71</v>
      </c>
      <c r="E92" s="167">
        <v>0.12</v>
      </c>
      <c r="F92" s="163">
        <v>289724.36</v>
      </c>
    </row>
    <row r="93" spans="1:6" ht="15" thickBot="1" x14ac:dyDescent="0.4">
      <c r="A93" s="143"/>
      <c r="B93" s="163">
        <v>434586.53</v>
      </c>
      <c r="C93" s="163">
        <v>579448.72</v>
      </c>
      <c r="D93" s="163">
        <v>37664.17</v>
      </c>
      <c r="E93" s="167">
        <v>0.15</v>
      </c>
      <c r="F93" s="163">
        <v>434586.53</v>
      </c>
    </row>
    <row r="94" spans="1:6" ht="15" thickBot="1" x14ac:dyDescent="0.4">
      <c r="A94" s="143"/>
      <c r="B94" s="163">
        <v>579448.72</v>
      </c>
      <c r="C94" s="163">
        <v>869173.07</v>
      </c>
      <c r="D94" s="163">
        <v>59393.49</v>
      </c>
      <c r="E94" s="167">
        <v>0.19</v>
      </c>
      <c r="F94" s="163">
        <v>579448.72</v>
      </c>
    </row>
    <row r="95" spans="1:6" ht="15" thickBot="1" x14ac:dyDescent="0.4">
      <c r="A95" s="143"/>
      <c r="B95" s="163">
        <v>869173.07</v>
      </c>
      <c r="C95" s="163">
        <v>1158897.4099999999</v>
      </c>
      <c r="D95" s="163">
        <v>114441.12</v>
      </c>
      <c r="E95" s="167">
        <v>0.23</v>
      </c>
      <c r="F95" s="163">
        <v>869173.07</v>
      </c>
    </row>
    <row r="96" spans="1:6" ht="15" thickBot="1" x14ac:dyDescent="0.4">
      <c r="A96" s="143"/>
      <c r="B96" s="163">
        <v>1158897.4099999999</v>
      </c>
      <c r="C96" s="163">
        <v>1738346.12</v>
      </c>
      <c r="D96" s="163">
        <v>181077.72</v>
      </c>
      <c r="E96" s="167">
        <v>0.27</v>
      </c>
      <c r="F96" s="163">
        <v>1158897.4099999999</v>
      </c>
    </row>
    <row r="97" spans="1:6" ht="15" thickBot="1" x14ac:dyDescent="0.4">
      <c r="A97" s="143"/>
      <c r="B97" s="163">
        <v>1738346.12</v>
      </c>
      <c r="C97" s="163">
        <v>2317794.87</v>
      </c>
      <c r="D97" s="163">
        <v>337528.87</v>
      </c>
      <c r="E97" s="167">
        <v>0.31</v>
      </c>
      <c r="F97" s="163">
        <v>1738346.12</v>
      </c>
    </row>
    <row r="98" spans="1:6" ht="15" thickBot="1" x14ac:dyDescent="0.4">
      <c r="A98" s="144"/>
      <c r="B98" s="163">
        <v>2317794.87</v>
      </c>
      <c r="C98" s="169" t="s">
        <v>113</v>
      </c>
      <c r="D98" s="163">
        <v>517157.98</v>
      </c>
      <c r="E98" s="168">
        <v>0.35</v>
      </c>
      <c r="F98" s="163">
        <v>2317794.87</v>
      </c>
    </row>
    <row r="99" spans="1:6" ht="15" thickBot="1" x14ac:dyDescent="0.4">
      <c r="A99" s="142" t="s">
        <v>12</v>
      </c>
      <c r="B99" s="164">
        <v>0</v>
      </c>
      <c r="C99" s="163">
        <v>159348.39000000001</v>
      </c>
      <c r="D99" s="164">
        <v>0</v>
      </c>
      <c r="E99" s="165">
        <v>0.05</v>
      </c>
      <c r="F99" s="166">
        <v>0</v>
      </c>
    </row>
    <row r="100" spans="1:6" ht="15" thickBot="1" x14ac:dyDescent="0.4">
      <c r="A100" s="143"/>
      <c r="B100" s="163">
        <v>159348.39000000001</v>
      </c>
      <c r="C100" s="163">
        <v>318696.8</v>
      </c>
      <c r="D100" s="163">
        <v>7967.42</v>
      </c>
      <c r="E100" s="167">
        <v>0.09</v>
      </c>
      <c r="F100" s="163">
        <v>159348.39000000001</v>
      </c>
    </row>
    <row r="101" spans="1:6" ht="15" thickBot="1" x14ac:dyDescent="0.4">
      <c r="A101" s="143"/>
      <c r="B101" s="163">
        <v>318696.8</v>
      </c>
      <c r="C101" s="163">
        <v>478045.19</v>
      </c>
      <c r="D101" s="163">
        <v>22308.78</v>
      </c>
      <c r="E101" s="167">
        <v>0.12</v>
      </c>
      <c r="F101" s="163">
        <v>318696.8</v>
      </c>
    </row>
    <row r="102" spans="1:6" ht="15" thickBot="1" x14ac:dyDescent="0.4">
      <c r="A102" s="143"/>
      <c r="B102" s="163">
        <v>478045.19</v>
      </c>
      <c r="C102" s="163">
        <v>637393.59</v>
      </c>
      <c r="D102" s="163">
        <v>41430.58</v>
      </c>
      <c r="E102" s="167">
        <v>0.15</v>
      </c>
      <c r="F102" s="163">
        <v>478045.19</v>
      </c>
    </row>
    <row r="103" spans="1:6" ht="15" thickBot="1" x14ac:dyDescent="0.4">
      <c r="A103" s="143"/>
      <c r="B103" s="163">
        <v>637393.59</v>
      </c>
      <c r="C103" s="163">
        <v>956090.37</v>
      </c>
      <c r="D103" s="163">
        <v>65332.84</v>
      </c>
      <c r="E103" s="167">
        <v>0.19</v>
      </c>
      <c r="F103" s="163">
        <v>637393.59</v>
      </c>
    </row>
    <row r="104" spans="1:6" ht="15" thickBot="1" x14ac:dyDescent="0.4">
      <c r="A104" s="143"/>
      <c r="B104" s="163">
        <v>956090.37</v>
      </c>
      <c r="C104" s="163">
        <v>1274787.1599999999</v>
      </c>
      <c r="D104" s="163">
        <v>125885.23</v>
      </c>
      <c r="E104" s="167">
        <v>0.23</v>
      </c>
      <c r="F104" s="163">
        <v>956090.37</v>
      </c>
    </row>
    <row r="105" spans="1:6" ht="15" thickBot="1" x14ac:dyDescent="0.4">
      <c r="A105" s="143"/>
      <c r="B105" s="163">
        <v>1274787.1599999999</v>
      </c>
      <c r="C105" s="163">
        <v>1912180.73</v>
      </c>
      <c r="D105" s="163">
        <v>199185.49</v>
      </c>
      <c r="E105" s="167">
        <v>0.27</v>
      </c>
      <c r="F105" s="163">
        <v>1274787.1599999999</v>
      </c>
    </row>
    <row r="106" spans="1:6" ht="15" thickBot="1" x14ac:dyDescent="0.4">
      <c r="A106" s="143"/>
      <c r="B106" s="163">
        <v>1912180.73</v>
      </c>
      <c r="C106" s="163">
        <v>2549574.36</v>
      </c>
      <c r="D106" s="163">
        <v>371281.76</v>
      </c>
      <c r="E106" s="167">
        <v>0.31</v>
      </c>
      <c r="F106" s="163">
        <v>1912180.73</v>
      </c>
    </row>
    <row r="107" spans="1:6" ht="15" thickBot="1" x14ac:dyDescent="0.4">
      <c r="A107" s="144"/>
      <c r="B107" s="163">
        <v>2549574.36</v>
      </c>
      <c r="C107" s="169" t="s">
        <v>113</v>
      </c>
      <c r="D107" s="163">
        <v>568873.78</v>
      </c>
      <c r="E107" s="168">
        <v>0.35</v>
      </c>
      <c r="F107" s="163">
        <v>2549574.36</v>
      </c>
    </row>
    <row r="108" spans="1:6" ht="15" thickBot="1" x14ac:dyDescent="0.4">
      <c r="A108" s="142" t="s">
        <v>13</v>
      </c>
      <c r="B108" s="164">
        <v>0</v>
      </c>
      <c r="C108" s="163">
        <v>173834.61</v>
      </c>
      <c r="D108" s="164">
        <v>0</v>
      </c>
      <c r="E108" s="165">
        <v>0.05</v>
      </c>
      <c r="F108" s="166">
        <v>0</v>
      </c>
    </row>
    <row r="109" spans="1:6" ht="15" thickBot="1" x14ac:dyDescent="0.4">
      <c r="A109" s="143"/>
      <c r="B109" s="163">
        <v>173834.61</v>
      </c>
      <c r="C109" s="163">
        <v>347669.23</v>
      </c>
      <c r="D109" s="163">
        <v>8691.73</v>
      </c>
      <c r="E109" s="167">
        <v>0.09</v>
      </c>
      <c r="F109" s="163">
        <v>173834.61</v>
      </c>
    </row>
    <row r="110" spans="1:6" ht="15" thickBot="1" x14ac:dyDescent="0.4">
      <c r="A110" s="143"/>
      <c r="B110" s="163">
        <v>347669.23</v>
      </c>
      <c r="C110" s="163">
        <v>521503.84</v>
      </c>
      <c r="D110" s="163">
        <v>24336.85</v>
      </c>
      <c r="E110" s="167">
        <v>0.12</v>
      </c>
      <c r="F110" s="163">
        <v>347669.23</v>
      </c>
    </row>
    <row r="111" spans="1:6" ht="15" thickBot="1" x14ac:dyDescent="0.4">
      <c r="A111" s="143"/>
      <c r="B111" s="163">
        <v>521503.84</v>
      </c>
      <c r="C111" s="163">
        <v>695338.47</v>
      </c>
      <c r="D111" s="163">
        <v>45197</v>
      </c>
      <c r="E111" s="167">
        <v>0.15</v>
      </c>
      <c r="F111" s="163">
        <v>521503.84</v>
      </c>
    </row>
    <row r="112" spans="1:6" ht="15" thickBot="1" x14ac:dyDescent="0.4">
      <c r="A112" s="143"/>
      <c r="B112" s="163">
        <v>695338.47</v>
      </c>
      <c r="C112" s="163">
        <v>1043007.68</v>
      </c>
      <c r="D112" s="163">
        <v>71272.19</v>
      </c>
      <c r="E112" s="167">
        <v>0.19</v>
      </c>
      <c r="F112" s="163">
        <v>695338.47</v>
      </c>
    </row>
    <row r="113" spans="1:6" ht="15" thickBot="1" x14ac:dyDescent="0.4">
      <c r="A113" s="143"/>
      <c r="B113" s="163">
        <v>1043007.68</v>
      </c>
      <c r="C113" s="163">
        <v>1390676.9</v>
      </c>
      <c r="D113" s="163">
        <v>137329.34</v>
      </c>
      <c r="E113" s="167">
        <v>0.23</v>
      </c>
      <c r="F113" s="163">
        <v>1043007.68</v>
      </c>
    </row>
    <row r="114" spans="1:6" ht="15" thickBot="1" x14ac:dyDescent="0.4">
      <c r="A114" s="143"/>
      <c r="B114" s="163">
        <v>1390676.9</v>
      </c>
      <c r="C114" s="163">
        <v>2086015.35</v>
      </c>
      <c r="D114" s="163">
        <v>217293.26</v>
      </c>
      <c r="E114" s="167">
        <v>0.27</v>
      </c>
      <c r="F114" s="163">
        <v>1390676.9</v>
      </c>
    </row>
    <row r="115" spans="1:6" ht="15" thickBot="1" x14ac:dyDescent="0.4">
      <c r="A115" s="143"/>
      <c r="B115" s="163">
        <v>2086015.35</v>
      </c>
      <c r="C115" s="163">
        <v>2781353.85</v>
      </c>
      <c r="D115" s="163">
        <v>405034.64</v>
      </c>
      <c r="E115" s="167">
        <v>0.31</v>
      </c>
      <c r="F115" s="163">
        <v>2086015.35</v>
      </c>
    </row>
    <row r="116" spans="1:6" ht="15" thickBot="1" x14ac:dyDescent="0.4">
      <c r="A116" s="144"/>
      <c r="B116" s="163">
        <v>2781353.85</v>
      </c>
      <c r="C116" s="169" t="s">
        <v>113</v>
      </c>
      <c r="D116" s="163">
        <v>620589.57999999996</v>
      </c>
      <c r="E116" s="168">
        <v>0.35</v>
      </c>
      <c r="F116" s="163">
        <v>2781353.85</v>
      </c>
    </row>
  </sheetData>
  <sheetProtection algorithmName="SHA-512" hashValue="9te687N1A+QeJiYRAIqzNOXAKkNpZNJMhXVDGA3N77GisdH1dij62ufGN/axyAPL8nx3w2B7ZBkTKvJ3kINXCg==" saltValue="2nxO82AdVjPDTzGfClUeOg==" spinCount="100000" sheet="1" objects="1" scenarios="1"/>
  <mergeCells count="20">
    <mergeCell ref="A2:C2"/>
    <mergeCell ref="A4:C4"/>
    <mergeCell ref="A9:A17"/>
    <mergeCell ref="A18:A26"/>
    <mergeCell ref="A27:A35"/>
    <mergeCell ref="A6:C6"/>
    <mergeCell ref="A3:C3"/>
    <mergeCell ref="D6:F6"/>
    <mergeCell ref="A90:A98"/>
    <mergeCell ref="A99:A107"/>
    <mergeCell ref="A108:A116"/>
    <mergeCell ref="A45:A53"/>
    <mergeCell ref="A54:A62"/>
    <mergeCell ref="A63:A71"/>
    <mergeCell ref="A72:A80"/>
    <mergeCell ref="A36:A44"/>
    <mergeCell ref="A7:A8"/>
    <mergeCell ref="B7:C7"/>
    <mergeCell ref="D7:F7"/>
    <mergeCell ref="A81:A8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3"/>
  <sheetViews>
    <sheetView zoomScale="95" zoomScaleNormal="95" workbookViewId="0">
      <selection activeCell="I13" sqref="I13"/>
    </sheetView>
  </sheetViews>
  <sheetFormatPr baseColWidth="10" defaultRowHeight="14.5" x14ac:dyDescent="0.35"/>
  <cols>
    <col min="3" max="4" width="11.453125" style="136"/>
  </cols>
  <sheetData>
    <row r="1" spans="1:4" x14ac:dyDescent="0.35">
      <c r="A1" t="s">
        <v>162</v>
      </c>
      <c r="B1" s="97"/>
    </row>
    <row r="2" spans="1:4" ht="36" x14ac:dyDescent="0.35">
      <c r="A2" s="53" t="s">
        <v>115</v>
      </c>
      <c r="B2" s="55" t="s">
        <v>116</v>
      </c>
    </row>
    <row r="3" spans="1:4" x14ac:dyDescent="0.35">
      <c r="A3" s="54">
        <v>404062</v>
      </c>
      <c r="B3" s="135"/>
      <c r="C3" s="137">
        <v>115775</v>
      </c>
      <c r="D3" s="136" t="s">
        <v>159</v>
      </c>
    </row>
    <row r="4" spans="1:4" x14ac:dyDescent="0.35">
      <c r="A4" s="54">
        <v>404331</v>
      </c>
      <c r="B4" s="135">
        <v>115775</v>
      </c>
      <c r="C4" s="137">
        <v>114779</v>
      </c>
      <c r="D4" s="136" t="s">
        <v>159</v>
      </c>
    </row>
    <row r="5" spans="1:4" x14ac:dyDescent="0.35">
      <c r="A5" s="54">
        <v>404601</v>
      </c>
      <c r="B5" s="135">
        <v>114779</v>
      </c>
      <c r="C5" s="137">
        <v>113865</v>
      </c>
      <c r="D5" s="136" t="s">
        <v>159</v>
      </c>
    </row>
    <row r="6" spans="1:4" x14ac:dyDescent="0.35">
      <c r="A6" s="54">
        <v>404871</v>
      </c>
      <c r="B6" s="135">
        <v>113865</v>
      </c>
      <c r="C6" s="137">
        <v>113003</v>
      </c>
      <c r="D6" s="136" t="s">
        <v>159</v>
      </c>
    </row>
    <row r="7" spans="1:4" x14ac:dyDescent="0.35">
      <c r="A7" s="54">
        <v>405139</v>
      </c>
      <c r="B7" s="135">
        <v>113003</v>
      </c>
      <c r="C7" s="137">
        <v>112178</v>
      </c>
      <c r="D7" s="136" t="s">
        <v>159</v>
      </c>
    </row>
    <row r="8" spans="1:4" x14ac:dyDescent="0.35">
      <c r="A8" s="54">
        <v>405409</v>
      </c>
      <c r="B8" s="135">
        <v>112178</v>
      </c>
      <c r="C8" s="137">
        <v>111381</v>
      </c>
      <c r="D8" s="136" t="s">
        <v>159</v>
      </c>
    </row>
    <row r="9" spans="1:4" x14ac:dyDescent="0.35">
      <c r="A9" s="54">
        <v>405679</v>
      </c>
      <c r="B9" s="135">
        <v>111381</v>
      </c>
      <c r="C9" s="137">
        <v>110608</v>
      </c>
      <c r="D9" s="136" t="s">
        <v>159</v>
      </c>
    </row>
    <row r="10" spans="1:4" x14ac:dyDescent="0.35">
      <c r="A10" s="54">
        <v>405947</v>
      </c>
      <c r="B10" s="135">
        <v>110608</v>
      </c>
      <c r="C10" s="137">
        <v>109852</v>
      </c>
      <c r="D10" s="136" t="s">
        <v>159</v>
      </c>
    </row>
    <row r="11" spans="1:4" x14ac:dyDescent="0.35">
      <c r="A11" s="54">
        <v>406217</v>
      </c>
      <c r="B11" s="135">
        <v>109852</v>
      </c>
      <c r="C11" s="137">
        <v>109109</v>
      </c>
      <c r="D11" s="136" t="s">
        <v>159</v>
      </c>
    </row>
    <row r="12" spans="1:4" x14ac:dyDescent="0.35">
      <c r="A12" s="54">
        <v>406486</v>
      </c>
      <c r="B12" s="135">
        <v>109109</v>
      </c>
      <c r="C12" s="137">
        <v>108385</v>
      </c>
      <c r="D12" s="136" t="s">
        <v>159</v>
      </c>
    </row>
    <row r="13" spans="1:4" x14ac:dyDescent="0.35">
      <c r="A13" s="54">
        <v>406756</v>
      </c>
      <c r="B13" s="135">
        <v>108385</v>
      </c>
      <c r="C13" s="137">
        <v>107672</v>
      </c>
      <c r="D13" s="136" t="s">
        <v>159</v>
      </c>
    </row>
    <row r="14" spans="1:4" x14ac:dyDescent="0.35">
      <c r="A14" s="54">
        <v>407026</v>
      </c>
      <c r="B14" s="135">
        <v>107672</v>
      </c>
      <c r="C14" s="137">
        <v>106969</v>
      </c>
      <c r="D14" s="136" t="s">
        <v>159</v>
      </c>
    </row>
    <row r="15" spans="1:4" x14ac:dyDescent="0.35">
      <c r="A15" s="54">
        <v>407294</v>
      </c>
      <c r="B15" s="135">
        <v>106969</v>
      </c>
      <c r="C15" s="137">
        <v>106273</v>
      </c>
      <c r="D15" s="136" t="s">
        <v>159</v>
      </c>
    </row>
    <row r="16" spans="1:4" x14ac:dyDescent="0.35">
      <c r="A16" s="54">
        <v>407564</v>
      </c>
      <c r="B16" s="135">
        <v>106273</v>
      </c>
      <c r="C16" s="137">
        <v>105592</v>
      </c>
      <c r="D16" s="136" t="s">
        <v>159</v>
      </c>
    </row>
    <row r="17" spans="1:4" x14ac:dyDescent="0.35">
      <c r="A17" s="54">
        <v>407834</v>
      </c>
      <c r="B17" s="135">
        <v>105592</v>
      </c>
      <c r="C17" s="137">
        <v>104916</v>
      </c>
      <c r="D17" s="136" t="s">
        <v>159</v>
      </c>
    </row>
    <row r="18" spans="1:4" x14ac:dyDescent="0.35">
      <c r="A18" s="54">
        <v>408102</v>
      </c>
      <c r="B18" s="135">
        <v>104916</v>
      </c>
      <c r="C18" s="137">
        <v>104249</v>
      </c>
      <c r="D18" s="136" t="s">
        <v>159</v>
      </c>
    </row>
    <row r="19" spans="1:4" x14ac:dyDescent="0.35">
      <c r="A19" s="54">
        <v>408372</v>
      </c>
      <c r="B19" s="135">
        <v>104249</v>
      </c>
      <c r="C19" s="137">
        <v>103585</v>
      </c>
      <c r="D19" s="136" t="s">
        <v>159</v>
      </c>
    </row>
    <row r="20" spans="1:4" x14ac:dyDescent="0.35">
      <c r="A20" s="54">
        <v>408641</v>
      </c>
      <c r="B20" s="135">
        <v>103585</v>
      </c>
      <c r="C20" s="137">
        <v>102931</v>
      </c>
      <c r="D20" s="136" t="s">
        <v>159</v>
      </c>
    </row>
    <row r="21" spans="1:4" x14ac:dyDescent="0.35">
      <c r="A21" s="54">
        <v>408911</v>
      </c>
      <c r="B21" s="135">
        <v>102931</v>
      </c>
      <c r="C21" s="137">
        <v>102281</v>
      </c>
      <c r="D21" s="136" t="s">
        <v>159</v>
      </c>
    </row>
    <row r="22" spans="1:4" x14ac:dyDescent="0.35">
      <c r="A22" s="54">
        <v>409181</v>
      </c>
      <c r="B22" s="135">
        <v>102281</v>
      </c>
      <c r="C22" s="137">
        <v>101641</v>
      </c>
      <c r="D22" s="136" t="s">
        <v>159</v>
      </c>
    </row>
    <row r="23" spans="1:4" x14ac:dyDescent="0.35">
      <c r="A23" s="54">
        <v>409449</v>
      </c>
      <c r="B23" s="135">
        <v>101641</v>
      </c>
      <c r="C23" s="137">
        <v>101003</v>
      </c>
      <c r="D23" s="136" t="s">
        <v>159</v>
      </c>
    </row>
    <row r="24" spans="1:4" x14ac:dyDescent="0.35">
      <c r="A24" s="54">
        <v>409719</v>
      </c>
      <c r="B24" s="135">
        <v>101003</v>
      </c>
      <c r="C24" s="137">
        <v>100371</v>
      </c>
      <c r="D24" s="136" t="s">
        <v>159</v>
      </c>
    </row>
    <row r="25" spans="1:4" x14ac:dyDescent="0.35">
      <c r="A25" s="54">
        <v>409989</v>
      </c>
      <c r="B25" s="135">
        <v>100371</v>
      </c>
      <c r="C25" s="137">
        <v>99744</v>
      </c>
      <c r="D25" s="136" t="s">
        <v>159</v>
      </c>
    </row>
    <row r="26" spans="1:4" x14ac:dyDescent="0.35">
      <c r="A26" s="54">
        <v>410257</v>
      </c>
      <c r="B26" s="135">
        <v>99744</v>
      </c>
      <c r="C26" s="137">
        <v>99121</v>
      </c>
      <c r="D26" s="136" t="s">
        <v>159</v>
      </c>
    </row>
    <row r="27" spans="1:4" x14ac:dyDescent="0.35">
      <c r="A27" s="54">
        <v>410527</v>
      </c>
      <c r="B27" s="135">
        <v>99121</v>
      </c>
      <c r="C27" s="137">
        <v>98502</v>
      </c>
      <c r="D27" s="136" t="s">
        <v>159</v>
      </c>
    </row>
    <row r="28" spans="1:4" x14ac:dyDescent="0.35">
      <c r="A28" s="54">
        <v>410796</v>
      </c>
      <c r="B28" s="135">
        <v>98502</v>
      </c>
      <c r="C28" s="137">
        <v>97887</v>
      </c>
      <c r="D28" s="136" t="s">
        <v>159</v>
      </c>
    </row>
    <row r="29" spans="1:4" x14ac:dyDescent="0.35">
      <c r="A29" s="54">
        <v>411066</v>
      </c>
      <c r="B29" s="135">
        <v>97887</v>
      </c>
      <c r="C29" s="137">
        <v>97279</v>
      </c>
      <c r="D29" s="136" t="s">
        <v>159</v>
      </c>
    </row>
    <row r="30" spans="1:4" x14ac:dyDescent="0.35">
      <c r="A30" s="54">
        <v>411336</v>
      </c>
      <c r="B30" s="135">
        <v>97279</v>
      </c>
      <c r="C30" s="137">
        <v>96673</v>
      </c>
      <c r="D30" s="136" t="s">
        <v>159</v>
      </c>
    </row>
    <row r="31" spans="1:4" x14ac:dyDescent="0.35">
      <c r="A31" s="54">
        <v>411604</v>
      </c>
      <c r="B31" s="135">
        <v>96673</v>
      </c>
      <c r="C31" s="137">
        <v>96070</v>
      </c>
      <c r="D31" s="136" t="s">
        <v>159</v>
      </c>
    </row>
    <row r="32" spans="1:4" x14ac:dyDescent="0.35">
      <c r="A32" s="54">
        <v>411874</v>
      </c>
      <c r="B32" s="135">
        <v>96070</v>
      </c>
      <c r="C32" s="137">
        <v>95471</v>
      </c>
      <c r="D32" s="136" t="s">
        <v>159</v>
      </c>
    </row>
    <row r="33" spans="1:4" x14ac:dyDescent="0.35">
      <c r="A33" s="54">
        <v>412144</v>
      </c>
      <c r="B33" s="135">
        <v>95471</v>
      </c>
      <c r="C33" s="137">
        <v>94876</v>
      </c>
      <c r="D33" s="136" t="s">
        <v>159</v>
      </c>
    </row>
    <row r="34" spans="1:4" x14ac:dyDescent="0.35">
      <c r="A34" s="54">
        <v>412412</v>
      </c>
      <c r="B34" s="135">
        <v>94876</v>
      </c>
      <c r="C34" s="137">
        <v>94284</v>
      </c>
      <c r="D34" s="136" t="s">
        <v>159</v>
      </c>
    </row>
    <row r="35" spans="1:4" x14ac:dyDescent="0.35">
      <c r="A35" s="54">
        <v>412682</v>
      </c>
      <c r="B35" s="135">
        <v>94284</v>
      </c>
      <c r="C35" s="137">
        <v>93693</v>
      </c>
      <c r="D35" s="136" t="s">
        <v>159</v>
      </c>
    </row>
    <row r="36" spans="1:4" x14ac:dyDescent="0.35">
      <c r="A36" s="54">
        <v>412951</v>
      </c>
      <c r="B36" s="135">
        <v>93693</v>
      </c>
      <c r="C36" s="137">
        <v>93109</v>
      </c>
      <c r="D36" s="136" t="s">
        <v>159</v>
      </c>
    </row>
    <row r="37" spans="1:4" x14ac:dyDescent="0.35">
      <c r="A37" s="54">
        <v>413221</v>
      </c>
      <c r="B37" s="135">
        <v>93109</v>
      </c>
      <c r="C37" s="137">
        <v>92526</v>
      </c>
      <c r="D37" s="136" t="s">
        <v>159</v>
      </c>
    </row>
    <row r="38" spans="1:4" x14ac:dyDescent="0.35">
      <c r="A38" s="54">
        <v>413491</v>
      </c>
      <c r="B38" s="135">
        <v>92526</v>
      </c>
      <c r="C38" s="137">
        <v>91946</v>
      </c>
      <c r="D38" s="136" t="s">
        <v>159</v>
      </c>
    </row>
    <row r="39" spans="1:4" x14ac:dyDescent="0.35">
      <c r="A39" s="54">
        <v>413759</v>
      </c>
      <c r="B39" s="135">
        <v>91946</v>
      </c>
      <c r="C39" s="137">
        <v>91367</v>
      </c>
      <c r="D39" s="136" t="s">
        <v>159</v>
      </c>
    </row>
    <row r="40" spans="1:4" x14ac:dyDescent="0.35">
      <c r="A40" s="54">
        <v>414029</v>
      </c>
      <c r="B40" s="135">
        <v>91367</v>
      </c>
      <c r="C40" s="137">
        <v>90793</v>
      </c>
      <c r="D40" s="136" t="s">
        <v>159</v>
      </c>
    </row>
    <row r="41" spans="1:4" x14ac:dyDescent="0.35">
      <c r="A41" s="54">
        <v>414299</v>
      </c>
      <c r="B41" s="135">
        <v>90793</v>
      </c>
      <c r="C41" s="137">
        <v>90219</v>
      </c>
      <c r="D41" s="136" t="s">
        <v>159</v>
      </c>
    </row>
    <row r="42" spans="1:4" x14ac:dyDescent="0.35">
      <c r="A42" s="54">
        <v>414567</v>
      </c>
      <c r="B42" s="135">
        <v>90219</v>
      </c>
      <c r="C42" s="137">
        <v>89650</v>
      </c>
      <c r="D42" s="136" t="s">
        <v>159</v>
      </c>
    </row>
    <row r="43" spans="1:4" x14ac:dyDescent="0.35">
      <c r="A43" s="54">
        <v>414837</v>
      </c>
      <c r="B43" s="135">
        <v>89650</v>
      </c>
      <c r="C43" s="137">
        <v>89083</v>
      </c>
      <c r="D43" s="136" t="s">
        <v>159</v>
      </c>
    </row>
    <row r="44" spans="1:4" x14ac:dyDescent="0.35">
      <c r="A44" s="54">
        <v>415106</v>
      </c>
      <c r="B44" s="135">
        <v>89083</v>
      </c>
      <c r="C44" s="137">
        <v>88516</v>
      </c>
      <c r="D44" s="136" t="s">
        <v>159</v>
      </c>
    </row>
    <row r="45" spans="1:4" x14ac:dyDescent="0.35">
      <c r="A45" s="54">
        <v>415376</v>
      </c>
      <c r="B45" s="135">
        <v>88516</v>
      </c>
      <c r="C45" s="137">
        <v>87953</v>
      </c>
      <c r="D45" s="136" t="s">
        <v>159</v>
      </c>
    </row>
    <row r="46" spans="1:4" x14ac:dyDescent="0.35">
      <c r="A46" s="54">
        <v>415646</v>
      </c>
      <c r="B46" s="135">
        <v>87953</v>
      </c>
      <c r="C46" s="137">
        <v>87393</v>
      </c>
      <c r="D46" s="136" t="s">
        <v>159</v>
      </c>
    </row>
    <row r="47" spans="1:4" x14ac:dyDescent="0.35">
      <c r="A47" s="54">
        <v>415914</v>
      </c>
      <c r="B47" s="135">
        <v>87393</v>
      </c>
      <c r="C47" s="137">
        <v>86835</v>
      </c>
      <c r="D47" s="136" t="s">
        <v>159</v>
      </c>
    </row>
    <row r="48" spans="1:4" x14ac:dyDescent="0.35">
      <c r="A48" s="54">
        <v>416184</v>
      </c>
      <c r="B48" s="135">
        <v>86835</v>
      </c>
      <c r="C48" s="137">
        <v>86279</v>
      </c>
      <c r="D48" s="136" t="s">
        <v>159</v>
      </c>
    </row>
    <row r="49" spans="1:4" x14ac:dyDescent="0.35">
      <c r="A49" s="54">
        <v>416454</v>
      </c>
      <c r="B49" s="135">
        <v>86279</v>
      </c>
      <c r="C49" s="137">
        <v>85726</v>
      </c>
      <c r="D49" s="136" t="s">
        <v>159</v>
      </c>
    </row>
    <row r="50" spans="1:4" x14ac:dyDescent="0.35">
      <c r="A50" s="54">
        <v>416722</v>
      </c>
      <c r="B50" s="135">
        <v>85726</v>
      </c>
      <c r="C50" s="137">
        <v>85170</v>
      </c>
      <c r="D50" s="136" t="s">
        <v>159</v>
      </c>
    </row>
    <row r="51" spans="1:4" x14ac:dyDescent="0.35">
      <c r="A51" s="54">
        <v>416992</v>
      </c>
      <c r="B51" s="135">
        <v>85170</v>
      </c>
      <c r="C51" s="137">
        <v>84621</v>
      </c>
      <c r="D51" s="136" t="s">
        <v>159</v>
      </c>
    </row>
    <row r="52" spans="1:4" x14ac:dyDescent="0.35">
      <c r="A52" s="54">
        <v>417261</v>
      </c>
      <c r="B52" s="135">
        <v>84621</v>
      </c>
      <c r="C52" s="137">
        <v>84074</v>
      </c>
      <c r="D52" s="136" t="s">
        <v>159</v>
      </c>
    </row>
    <row r="53" spans="1:4" x14ac:dyDescent="0.35">
      <c r="A53" s="54">
        <v>417531</v>
      </c>
      <c r="B53" s="135">
        <v>84074</v>
      </c>
      <c r="C53" s="137">
        <v>83528</v>
      </c>
      <c r="D53" s="136" t="s">
        <v>159</v>
      </c>
    </row>
    <row r="54" spans="1:4" x14ac:dyDescent="0.35">
      <c r="A54" s="54">
        <v>417801</v>
      </c>
      <c r="B54" s="135">
        <v>83528</v>
      </c>
      <c r="C54" s="137">
        <v>82981</v>
      </c>
      <c r="D54" s="136" t="s">
        <v>159</v>
      </c>
    </row>
    <row r="55" spans="1:4" x14ac:dyDescent="0.35">
      <c r="A55" s="54">
        <v>418069</v>
      </c>
      <c r="B55" s="135">
        <v>82981</v>
      </c>
      <c r="C55" s="137">
        <v>82439</v>
      </c>
      <c r="D55" s="136" t="s">
        <v>159</v>
      </c>
    </row>
    <row r="56" spans="1:4" x14ac:dyDescent="0.35">
      <c r="A56" s="54">
        <v>418339</v>
      </c>
      <c r="B56" s="135">
        <v>82439</v>
      </c>
      <c r="C56" s="137">
        <v>81897</v>
      </c>
      <c r="D56" s="136" t="s">
        <v>159</v>
      </c>
    </row>
    <row r="57" spans="1:4" x14ac:dyDescent="0.35">
      <c r="A57" s="54">
        <v>418609</v>
      </c>
      <c r="B57" s="135">
        <v>81897</v>
      </c>
      <c r="C57" s="137">
        <v>81359</v>
      </c>
      <c r="D57" s="136" t="s">
        <v>159</v>
      </c>
    </row>
    <row r="58" spans="1:4" x14ac:dyDescent="0.35">
      <c r="A58" s="54">
        <v>418877</v>
      </c>
      <c r="B58" s="135">
        <v>81359</v>
      </c>
      <c r="C58" s="137">
        <v>80821</v>
      </c>
      <c r="D58" s="136" t="s">
        <v>159</v>
      </c>
    </row>
    <row r="59" spans="1:4" x14ac:dyDescent="0.35">
      <c r="A59" s="54">
        <v>419147</v>
      </c>
      <c r="B59" s="135">
        <v>80821</v>
      </c>
      <c r="C59" s="137">
        <v>80284</v>
      </c>
      <c r="D59" s="136" t="s">
        <v>159</v>
      </c>
    </row>
    <row r="60" spans="1:4" x14ac:dyDescent="0.35">
      <c r="A60" s="54">
        <v>419416</v>
      </c>
      <c r="B60" s="135">
        <v>80284</v>
      </c>
      <c r="C60" s="137">
        <v>79748</v>
      </c>
      <c r="D60" s="136" t="s">
        <v>159</v>
      </c>
    </row>
    <row r="61" spans="1:4" x14ac:dyDescent="0.35">
      <c r="A61" s="54">
        <v>419686</v>
      </c>
      <c r="B61" s="135">
        <v>79748</v>
      </c>
      <c r="C61" s="137">
        <v>79215</v>
      </c>
      <c r="D61" s="136" t="s">
        <v>159</v>
      </c>
    </row>
    <row r="62" spans="1:4" x14ac:dyDescent="0.35">
      <c r="A62" s="54">
        <v>419956</v>
      </c>
      <c r="B62" s="135">
        <v>79215</v>
      </c>
      <c r="C62" s="137">
        <v>78684</v>
      </c>
      <c r="D62" s="136" t="s">
        <v>159</v>
      </c>
    </row>
    <row r="63" spans="1:4" x14ac:dyDescent="0.35">
      <c r="A63" s="54">
        <v>420224</v>
      </c>
      <c r="B63" s="135">
        <v>78684</v>
      </c>
      <c r="C63" s="137">
        <v>78154</v>
      </c>
      <c r="D63" s="136" t="s">
        <v>159</v>
      </c>
    </row>
    <row r="64" spans="1:4" x14ac:dyDescent="0.35">
      <c r="A64" s="54">
        <v>420494</v>
      </c>
      <c r="B64" s="135">
        <v>78154</v>
      </c>
      <c r="C64" s="137">
        <v>77625</v>
      </c>
      <c r="D64" s="136" t="s">
        <v>159</v>
      </c>
    </row>
    <row r="65" spans="1:4" x14ac:dyDescent="0.35">
      <c r="A65" s="54">
        <v>420764</v>
      </c>
      <c r="B65" s="135">
        <v>77625</v>
      </c>
      <c r="C65" s="137">
        <v>77097</v>
      </c>
      <c r="D65" s="136" t="s">
        <v>159</v>
      </c>
    </row>
    <row r="66" spans="1:4" x14ac:dyDescent="0.35">
      <c r="A66" s="54">
        <v>421032</v>
      </c>
      <c r="B66" s="135">
        <v>77097</v>
      </c>
      <c r="C66" s="137">
        <v>76573</v>
      </c>
      <c r="D66" s="136" t="s">
        <v>159</v>
      </c>
    </row>
    <row r="67" spans="1:4" x14ac:dyDescent="0.35">
      <c r="A67" s="54">
        <v>421302</v>
      </c>
      <c r="B67" s="135">
        <v>76573</v>
      </c>
      <c r="C67" s="137">
        <v>76047</v>
      </c>
      <c r="D67" s="136" t="s">
        <v>159</v>
      </c>
    </row>
    <row r="68" spans="1:4" x14ac:dyDescent="0.35">
      <c r="A68" s="54">
        <v>421571</v>
      </c>
      <c r="B68" s="135">
        <v>76047</v>
      </c>
      <c r="C68" s="137">
        <v>75525</v>
      </c>
      <c r="D68" s="136" t="s">
        <v>159</v>
      </c>
    </row>
    <row r="69" spans="1:4" x14ac:dyDescent="0.35">
      <c r="A69" s="54">
        <v>421841</v>
      </c>
      <c r="B69" s="135">
        <v>75525</v>
      </c>
      <c r="C69" s="137">
        <v>75005</v>
      </c>
      <c r="D69" s="136" t="s">
        <v>159</v>
      </c>
    </row>
    <row r="70" spans="1:4" x14ac:dyDescent="0.35">
      <c r="A70" s="54">
        <v>422111</v>
      </c>
      <c r="B70" s="135">
        <v>75005</v>
      </c>
      <c r="C70" s="137">
        <v>74484</v>
      </c>
      <c r="D70" s="136" t="s">
        <v>159</v>
      </c>
    </row>
    <row r="71" spans="1:4" x14ac:dyDescent="0.35">
      <c r="A71" s="54">
        <v>422379</v>
      </c>
      <c r="B71" s="135">
        <v>74484</v>
      </c>
      <c r="C71" s="137">
        <v>73964</v>
      </c>
      <c r="D71" s="136" t="s">
        <v>159</v>
      </c>
    </row>
    <row r="72" spans="1:4" x14ac:dyDescent="0.35">
      <c r="A72" s="54">
        <v>422649</v>
      </c>
      <c r="B72" s="135">
        <v>73964</v>
      </c>
      <c r="C72" s="137">
        <v>73447</v>
      </c>
      <c r="D72" s="136" t="s">
        <v>159</v>
      </c>
    </row>
    <row r="73" spans="1:4" x14ac:dyDescent="0.35">
      <c r="A73" s="54">
        <v>422919</v>
      </c>
      <c r="B73" s="135">
        <v>73447</v>
      </c>
      <c r="C73" s="137">
        <v>72930</v>
      </c>
      <c r="D73" s="136" t="s">
        <v>159</v>
      </c>
    </row>
    <row r="74" spans="1:4" x14ac:dyDescent="0.35">
      <c r="A74" s="54">
        <v>423187</v>
      </c>
      <c r="B74" s="135">
        <v>72930</v>
      </c>
      <c r="C74" s="137">
        <v>72415</v>
      </c>
      <c r="D74" s="136" t="s">
        <v>159</v>
      </c>
    </row>
    <row r="75" spans="1:4" x14ac:dyDescent="0.35">
      <c r="A75" s="54">
        <v>423457</v>
      </c>
      <c r="B75" s="135">
        <v>72415</v>
      </c>
      <c r="C75" s="137">
        <v>71902</v>
      </c>
      <c r="D75" s="136" t="s">
        <v>159</v>
      </c>
    </row>
    <row r="76" spans="1:4" x14ac:dyDescent="0.35">
      <c r="A76" s="54">
        <v>423726</v>
      </c>
      <c r="B76" s="135">
        <v>71902</v>
      </c>
      <c r="C76" s="137">
        <v>71387</v>
      </c>
      <c r="D76" s="136" t="s">
        <v>159</v>
      </c>
    </row>
    <row r="77" spans="1:4" x14ac:dyDescent="0.35">
      <c r="A77" s="54">
        <v>423996</v>
      </c>
      <c r="B77" s="135">
        <v>71387</v>
      </c>
      <c r="C77" s="137">
        <v>70875</v>
      </c>
      <c r="D77" s="136" t="s">
        <v>159</v>
      </c>
    </row>
    <row r="78" spans="1:4" x14ac:dyDescent="0.35">
      <c r="A78" s="54">
        <v>424266</v>
      </c>
      <c r="B78" s="135">
        <v>70875</v>
      </c>
      <c r="C78" s="137">
        <v>70366</v>
      </c>
      <c r="D78" s="136" t="s">
        <v>159</v>
      </c>
    </row>
    <row r="79" spans="1:4" x14ac:dyDescent="0.35">
      <c r="A79" s="54">
        <v>424534</v>
      </c>
      <c r="B79" s="135">
        <v>70366</v>
      </c>
      <c r="C79" s="137">
        <v>69856</v>
      </c>
      <c r="D79" s="136" t="s">
        <v>159</v>
      </c>
    </row>
    <row r="80" spans="1:4" x14ac:dyDescent="0.35">
      <c r="A80" s="54">
        <v>424804</v>
      </c>
      <c r="B80" s="135">
        <v>69856</v>
      </c>
      <c r="C80" s="137">
        <v>69348</v>
      </c>
      <c r="D80" s="136" t="s">
        <v>159</v>
      </c>
    </row>
    <row r="81" spans="1:4" x14ac:dyDescent="0.35">
      <c r="A81" s="54">
        <v>425074</v>
      </c>
      <c r="B81" s="135">
        <v>69348</v>
      </c>
      <c r="C81" s="137">
        <v>68842</v>
      </c>
      <c r="D81" s="136" t="s">
        <v>159</v>
      </c>
    </row>
    <row r="82" spans="1:4" x14ac:dyDescent="0.35">
      <c r="A82" s="54">
        <v>425342</v>
      </c>
      <c r="B82" s="135">
        <v>68842</v>
      </c>
      <c r="C82" s="137">
        <v>68334</v>
      </c>
      <c r="D82" s="136" t="s">
        <v>159</v>
      </c>
    </row>
    <row r="83" spans="1:4" x14ac:dyDescent="0.35">
      <c r="A83" s="54">
        <v>425612</v>
      </c>
      <c r="B83" s="135">
        <v>68334</v>
      </c>
      <c r="C83" s="137">
        <v>67832</v>
      </c>
      <c r="D83" s="136" t="s">
        <v>159</v>
      </c>
    </row>
    <row r="84" spans="1:4" x14ac:dyDescent="0.35">
      <c r="A84" s="54">
        <v>425881</v>
      </c>
      <c r="B84" s="135">
        <v>67832</v>
      </c>
      <c r="C84" s="137">
        <v>67327</v>
      </c>
      <c r="D84" s="136" t="s">
        <v>159</v>
      </c>
    </row>
    <row r="85" spans="1:4" x14ac:dyDescent="0.35">
      <c r="A85" s="54">
        <v>426151</v>
      </c>
      <c r="B85" s="135">
        <v>67327</v>
      </c>
      <c r="C85" s="137">
        <v>66823</v>
      </c>
      <c r="D85" s="136" t="s">
        <v>159</v>
      </c>
    </row>
    <row r="86" spans="1:4" x14ac:dyDescent="0.35">
      <c r="A86" s="54">
        <v>426421</v>
      </c>
      <c r="B86" s="135">
        <v>66823</v>
      </c>
      <c r="C86" s="137">
        <v>66322</v>
      </c>
      <c r="D86" s="136" t="s">
        <v>159</v>
      </c>
    </row>
    <row r="87" spans="1:4" x14ac:dyDescent="0.35">
      <c r="A87" s="54">
        <v>426689</v>
      </c>
      <c r="B87" s="135">
        <v>66322</v>
      </c>
      <c r="C87" s="137">
        <v>65822</v>
      </c>
      <c r="D87" s="136" t="s">
        <v>159</v>
      </c>
    </row>
    <row r="88" spans="1:4" x14ac:dyDescent="0.35">
      <c r="A88" s="54">
        <v>426959</v>
      </c>
      <c r="B88" s="135">
        <v>65822</v>
      </c>
      <c r="C88" s="137">
        <v>65321</v>
      </c>
      <c r="D88" s="136" t="s">
        <v>159</v>
      </c>
    </row>
    <row r="89" spans="1:4" x14ac:dyDescent="0.35">
      <c r="A89" s="54">
        <v>427229</v>
      </c>
      <c r="B89" s="135">
        <v>65321</v>
      </c>
      <c r="C89" s="137">
        <v>64822</v>
      </c>
      <c r="D89" s="136" t="s">
        <v>159</v>
      </c>
    </row>
    <row r="90" spans="1:4" x14ac:dyDescent="0.35">
      <c r="A90" s="54">
        <v>427497</v>
      </c>
      <c r="B90" s="135">
        <v>64822</v>
      </c>
      <c r="C90" s="137">
        <v>64325</v>
      </c>
      <c r="D90" s="136" t="s">
        <v>159</v>
      </c>
    </row>
    <row r="91" spans="1:4" x14ac:dyDescent="0.35">
      <c r="A91" s="54">
        <v>427767</v>
      </c>
      <c r="B91" s="135">
        <v>64325</v>
      </c>
      <c r="C91" s="137">
        <v>63827</v>
      </c>
      <c r="D91" s="136" t="s">
        <v>159</v>
      </c>
    </row>
    <row r="92" spans="1:4" x14ac:dyDescent="0.35">
      <c r="A92" s="54">
        <v>428036</v>
      </c>
      <c r="B92" s="135">
        <v>63827</v>
      </c>
      <c r="C92" s="137">
        <v>63332</v>
      </c>
      <c r="D92" s="136" t="s">
        <v>159</v>
      </c>
    </row>
    <row r="93" spans="1:4" x14ac:dyDescent="0.35">
      <c r="A93" s="54">
        <v>428306</v>
      </c>
      <c r="B93" s="135">
        <v>63332</v>
      </c>
      <c r="C93" s="137">
        <v>62837</v>
      </c>
      <c r="D93" s="136" t="s">
        <v>159</v>
      </c>
    </row>
    <row r="94" spans="1:4" x14ac:dyDescent="0.35">
      <c r="A94" s="54">
        <v>428576</v>
      </c>
      <c r="B94" s="135">
        <v>62837</v>
      </c>
      <c r="C94" s="137">
        <v>62341</v>
      </c>
      <c r="D94" s="136" t="s">
        <v>159</v>
      </c>
    </row>
    <row r="95" spans="1:4" x14ac:dyDescent="0.35">
      <c r="A95" s="54">
        <v>428844</v>
      </c>
      <c r="B95" s="135">
        <v>62341</v>
      </c>
      <c r="C95" s="137">
        <v>61848</v>
      </c>
      <c r="D95" s="136" t="s">
        <v>159</v>
      </c>
    </row>
    <row r="96" spans="1:4" x14ac:dyDescent="0.35">
      <c r="A96" s="54">
        <v>429114</v>
      </c>
      <c r="B96" s="135">
        <v>61848</v>
      </c>
      <c r="C96" s="137">
        <v>61358</v>
      </c>
      <c r="D96" s="136" t="s">
        <v>159</v>
      </c>
    </row>
    <row r="97" spans="1:4" x14ac:dyDescent="0.35">
      <c r="A97" s="54">
        <v>429384</v>
      </c>
      <c r="B97" s="135">
        <v>61358</v>
      </c>
      <c r="C97" s="137">
        <v>60866</v>
      </c>
      <c r="D97" s="136" t="s">
        <v>159</v>
      </c>
    </row>
    <row r="98" spans="1:4" x14ac:dyDescent="0.35">
      <c r="A98" s="54">
        <v>429652</v>
      </c>
      <c r="B98" s="135">
        <v>60866</v>
      </c>
      <c r="C98" s="137">
        <v>60374</v>
      </c>
      <c r="D98" s="136" t="s">
        <v>159</v>
      </c>
    </row>
    <row r="99" spans="1:4" x14ac:dyDescent="0.35">
      <c r="A99" s="54">
        <v>429922</v>
      </c>
      <c r="B99" s="135">
        <v>60374</v>
      </c>
      <c r="C99" s="137">
        <v>59884</v>
      </c>
      <c r="D99" s="136" t="s">
        <v>159</v>
      </c>
    </row>
    <row r="100" spans="1:4" x14ac:dyDescent="0.35">
      <c r="A100" s="54">
        <v>430191</v>
      </c>
      <c r="B100" s="135">
        <v>59884</v>
      </c>
      <c r="C100" s="137">
        <v>59398</v>
      </c>
      <c r="D100" s="136" t="s">
        <v>159</v>
      </c>
    </row>
    <row r="101" spans="1:4" x14ac:dyDescent="0.35">
      <c r="A101" s="54">
        <v>430461</v>
      </c>
      <c r="B101" s="135">
        <v>59398</v>
      </c>
      <c r="C101" s="137">
        <v>58909</v>
      </c>
      <c r="D101" s="136" t="s">
        <v>159</v>
      </c>
    </row>
    <row r="102" spans="1:4" x14ac:dyDescent="0.35">
      <c r="A102" s="54">
        <v>430731</v>
      </c>
      <c r="B102" s="135">
        <v>58909</v>
      </c>
      <c r="C102" s="137">
        <v>58421</v>
      </c>
      <c r="D102" s="136" t="s">
        <v>159</v>
      </c>
    </row>
    <row r="103" spans="1:4" x14ac:dyDescent="0.35">
      <c r="A103" s="54">
        <v>430999</v>
      </c>
      <c r="B103" s="135">
        <v>58421</v>
      </c>
      <c r="C103" s="137">
        <v>57935</v>
      </c>
      <c r="D103" s="136" t="s">
        <v>159</v>
      </c>
    </row>
    <row r="104" spans="1:4" x14ac:dyDescent="0.35">
      <c r="A104" s="54">
        <v>431269</v>
      </c>
      <c r="B104" s="135">
        <v>57935</v>
      </c>
      <c r="C104" s="137">
        <v>57450</v>
      </c>
      <c r="D104" s="136" t="s">
        <v>159</v>
      </c>
    </row>
    <row r="105" spans="1:4" x14ac:dyDescent="0.35">
      <c r="A105" s="54">
        <v>431539</v>
      </c>
      <c r="B105" s="135">
        <v>57450</v>
      </c>
      <c r="C105" s="137">
        <v>56965</v>
      </c>
      <c r="D105" s="136" t="s">
        <v>159</v>
      </c>
    </row>
    <row r="106" spans="1:4" x14ac:dyDescent="0.35">
      <c r="A106" s="54">
        <v>431807</v>
      </c>
      <c r="B106" s="135">
        <v>56965</v>
      </c>
      <c r="C106" s="137">
        <v>56483</v>
      </c>
      <c r="D106" s="136" t="s">
        <v>159</v>
      </c>
    </row>
    <row r="107" spans="1:4" x14ac:dyDescent="0.35">
      <c r="A107" s="54">
        <v>432077</v>
      </c>
      <c r="B107" s="135">
        <v>56483</v>
      </c>
      <c r="C107" s="137">
        <v>55998</v>
      </c>
      <c r="D107" s="136" t="s">
        <v>159</v>
      </c>
    </row>
    <row r="108" spans="1:4" x14ac:dyDescent="0.35">
      <c r="A108" s="54">
        <v>432346</v>
      </c>
      <c r="B108" s="135">
        <v>55998</v>
      </c>
      <c r="C108" s="137">
        <v>55515</v>
      </c>
      <c r="D108" s="136" t="s">
        <v>159</v>
      </c>
    </row>
    <row r="109" spans="1:4" x14ac:dyDescent="0.35">
      <c r="A109" s="54">
        <v>432616</v>
      </c>
      <c r="B109" s="135">
        <v>55515</v>
      </c>
      <c r="C109" s="137">
        <v>55034</v>
      </c>
      <c r="D109" s="136" t="s">
        <v>159</v>
      </c>
    </row>
    <row r="110" spans="1:4" x14ac:dyDescent="0.35">
      <c r="A110" s="54">
        <v>432886</v>
      </c>
      <c r="B110" s="135">
        <v>55034</v>
      </c>
      <c r="C110" s="137">
        <v>54553</v>
      </c>
      <c r="D110" s="136" t="s">
        <v>159</v>
      </c>
    </row>
    <row r="111" spans="1:4" x14ac:dyDescent="0.35">
      <c r="A111" s="54">
        <v>433154</v>
      </c>
      <c r="B111" s="135">
        <v>54553</v>
      </c>
      <c r="C111" s="137">
        <v>54074</v>
      </c>
      <c r="D111" s="136" t="s">
        <v>159</v>
      </c>
    </row>
    <row r="112" spans="1:4" x14ac:dyDescent="0.35">
      <c r="A112" s="54">
        <v>433424</v>
      </c>
      <c r="B112" s="135">
        <v>54074</v>
      </c>
      <c r="C112" s="137">
        <v>53594</v>
      </c>
      <c r="D112" s="136" t="s">
        <v>159</v>
      </c>
    </row>
    <row r="113" spans="1:4" x14ac:dyDescent="0.35">
      <c r="A113" s="54">
        <v>433694</v>
      </c>
      <c r="B113" s="135">
        <v>53594</v>
      </c>
      <c r="C113" s="137">
        <v>53115</v>
      </c>
      <c r="D113" s="136" t="s">
        <v>159</v>
      </c>
    </row>
    <row r="114" spans="1:4" x14ac:dyDescent="0.35">
      <c r="A114" s="54">
        <v>433962</v>
      </c>
      <c r="B114" s="135">
        <v>53115</v>
      </c>
      <c r="C114" s="137">
        <v>52639</v>
      </c>
      <c r="D114" s="136" t="s">
        <v>159</v>
      </c>
    </row>
    <row r="115" spans="1:4" x14ac:dyDescent="0.35">
      <c r="A115" s="54">
        <v>434232</v>
      </c>
      <c r="B115" s="135">
        <v>52639</v>
      </c>
      <c r="C115" s="137">
        <v>52162</v>
      </c>
      <c r="D115" s="136" t="s">
        <v>159</v>
      </c>
    </row>
    <row r="116" spans="1:4" x14ac:dyDescent="0.35">
      <c r="A116" s="54">
        <v>434501</v>
      </c>
      <c r="B116" s="135">
        <v>52162</v>
      </c>
      <c r="C116" s="137">
        <v>51684</v>
      </c>
      <c r="D116" s="136" t="s">
        <v>159</v>
      </c>
    </row>
    <row r="117" spans="1:4" x14ac:dyDescent="0.35">
      <c r="A117" s="54">
        <v>434771</v>
      </c>
      <c r="B117" s="135">
        <v>51684</v>
      </c>
      <c r="C117" s="137">
        <v>51209</v>
      </c>
      <c r="D117" s="136" t="s">
        <v>159</v>
      </c>
    </row>
    <row r="118" spans="1:4" x14ac:dyDescent="0.35">
      <c r="A118" s="54">
        <v>435041</v>
      </c>
      <c r="B118" s="135">
        <v>51209</v>
      </c>
      <c r="C118" s="137">
        <v>50735</v>
      </c>
      <c r="D118" s="136" t="s">
        <v>159</v>
      </c>
    </row>
    <row r="119" spans="1:4" x14ac:dyDescent="0.35">
      <c r="A119" s="54">
        <v>435309</v>
      </c>
      <c r="B119" s="135">
        <v>50735</v>
      </c>
      <c r="C119" s="137">
        <v>50261</v>
      </c>
      <c r="D119" s="136" t="s">
        <v>159</v>
      </c>
    </row>
    <row r="120" spans="1:4" x14ac:dyDescent="0.35">
      <c r="A120" s="54">
        <v>435579</v>
      </c>
      <c r="B120" s="135">
        <v>50261</v>
      </c>
      <c r="C120" s="137">
        <v>49785</v>
      </c>
      <c r="D120" s="136" t="s">
        <v>159</v>
      </c>
    </row>
    <row r="121" spans="1:4" x14ac:dyDescent="0.35">
      <c r="A121" s="54">
        <v>435849</v>
      </c>
      <c r="B121" s="135">
        <v>49785</v>
      </c>
      <c r="C121" s="137">
        <v>49315</v>
      </c>
      <c r="D121" s="136" t="s">
        <v>159</v>
      </c>
    </row>
    <row r="122" spans="1:4" x14ac:dyDescent="0.35">
      <c r="A122" s="54">
        <v>436117</v>
      </c>
      <c r="B122" s="135">
        <v>49315</v>
      </c>
      <c r="C122" s="137">
        <v>48843</v>
      </c>
      <c r="D122" s="136" t="s">
        <v>159</v>
      </c>
    </row>
    <row r="123" spans="1:4" x14ac:dyDescent="0.35">
      <c r="A123" s="54">
        <v>436387</v>
      </c>
      <c r="B123" s="135">
        <v>48843</v>
      </c>
      <c r="C123" s="137">
        <v>48372</v>
      </c>
      <c r="D123" s="136" t="s">
        <v>159</v>
      </c>
    </row>
    <row r="124" spans="1:4" x14ac:dyDescent="0.35">
      <c r="A124" s="54">
        <v>436656</v>
      </c>
      <c r="B124" s="135">
        <v>48372</v>
      </c>
      <c r="C124" s="137">
        <v>47900</v>
      </c>
      <c r="D124" s="136" t="s">
        <v>159</v>
      </c>
    </row>
    <row r="125" spans="1:4" x14ac:dyDescent="0.35">
      <c r="A125" s="54">
        <v>436926</v>
      </c>
      <c r="B125" s="135">
        <v>47900</v>
      </c>
      <c r="C125" s="137">
        <v>47428</v>
      </c>
      <c r="D125" s="136" t="s">
        <v>159</v>
      </c>
    </row>
    <row r="126" spans="1:4" x14ac:dyDescent="0.35">
      <c r="A126" s="54">
        <v>437196</v>
      </c>
      <c r="B126" s="135">
        <v>47428</v>
      </c>
      <c r="C126" s="137">
        <v>46959</v>
      </c>
      <c r="D126" s="136" t="s">
        <v>159</v>
      </c>
    </row>
    <row r="127" spans="1:4" x14ac:dyDescent="0.35">
      <c r="A127" s="54">
        <v>437464</v>
      </c>
      <c r="B127" s="135">
        <v>46959</v>
      </c>
      <c r="C127" s="137">
        <v>46491</v>
      </c>
      <c r="D127" s="136" t="s">
        <v>159</v>
      </c>
    </row>
    <row r="128" spans="1:4" x14ac:dyDescent="0.35">
      <c r="A128" s="54">
        <v>437734</v>
      </c>
      <c r="B128" s="135">
        <v>46491</v>
      </c>
      <c r="C128" s="137">
        <v>46022</v>
      </c>
      <c r="D128" s="136" t="s">
        <v>159</v>
      </c>
    </row>
    <row r="129" spans="1:4" x14ac:dyDescent="0.35">
      <c r="A129" s="54">
        <v>438004</v>
      </c>
      <c r="B129" s="135">
        <v>46022</v>
      </c>
      <c r="C129" s="137">
        <v>45554</v>
      </c>
      <c r="D129" s="136" t="s">
        <v>159</v>
      </c>
    </row>
    <row r="130" spans="1:4" x14ac:dyDescent="0.35">
      <c r="A130" s="54">
        <v>438272</v>
      </c>
      <c r="B130" s="135">
        <v>45554</v>
      </c>
      <c r="C130" s="137">
        <v>45089</v>
      </c>
      <c r="D130" s="136" t="s">
        <v>159</v>
      </c>
    </row>
    <row r="131" spans="1:4" x14ac:dyDescent="0.35">
      <c r="A131" s="54">
        <v>438542</v>
      </c>
      <c r="B131" s="135">
        <v>45089</v>
      </c>
      <c r="C131" s="137">
        <v>44622</v>
      </c>
      <c r="D131" s="136" t="s">
        <v>159</v>
      </c>
    </row>
    <row r="132" spans="1:4" x14ac:dyDescent="0.35">
      <c r="A132" s="54">
        <v>438811</v>
      </c>
      <c r="B132" s="135">
        <v>44622</v>
      </c>
      <c r="C132" s="137">
        <v>44155</v>
      </c>
      <c r="D132" s="136" t="s">
        <v>159</v>
      </c>
    </row>
    <row r="133" spans="1:4" x14ac:dyDescent="0.35">
      <c r="A133" s="54">
        <v>439081</v>
      </c>
      <c r="B133" s="135">
        <v>44155</v>
      </c>
      <c r="C133" s="137">
        <v>43690</v>
      </c>
      <c r="D133" s="136" t="s">
        <v>159</v>
      </c>
    </row>
    <row r="134" spans="1:4" x14ac:dyDescent="0.35">
      <c r="A134" s="54">
        <v>439351</v>
      </c>
      <c r="B134" s="135">
        <v>43690</v>
      </c>
      <c r="C134" s="137">
        <v>43227</v>
      </c>
      <c r="D134" s="136" t="s">
        <v>159</v>
      </c>
    </row>
    <row r="135" spans="1:4" x14ac:dyDescent="0.35">
      <c r="A135" s="54">
        <v>439619</v>
      </c>
      <c r="B135" s="135">
        <v>43227</v>
      </c>
      <c r="C135" s="137">
        <v>42764</v>
      </c>
      <c r="D135" s="136" t="s">
        <v>159</v>
      </c>
    </row>
    <row r="136" spans="1:4" x14ac:dyDescent="0.35">
      <c r="A136" s="54">
        <v>439889</v>
      </c>
      <c r="B136" s="135">
        <v>42764</v>
      </c>
      <c r="C136" s="137">
        <v>42301</v>
      </c>
      <c r="D136" s="136" t="s">
        <v>159</v>
      </c>
    </row>
    <row r="137" spans="1:4" x14ac:dyDescent="0.35">
      <c r="A137" s="54">
        <v>440159</v>
      </c>
      <c r="B137" s="135">
        <v>42301</v>
      </c>
      <c r="C137" s="137">
        <v>41836</v>
      </c>
      <c r="D137" s="136" t="s">
        <v>159</v>
      </c>
    </row>
    <row r="138" spans="1:4" x14ac:dyDescent="0.35">
      <c r="A138" s="54">
        <v>440427</v>
      </c>
      <c r="B138" s="135">
        <v>41836</v>
      </c>
      <c r="C138" s="137">
        <v>41373</v>
      </c>
      <c r="D138" s="136" t="s">
        <v>159</v>
      </c>
    </row>
    <row r="139" spans="1:4" x14ac:dyDescent="0.35">
      <c r="A139" s="54">
        <v>440697</v>
      </c>
      <c r="B139" s="135">
        <v>41373</v>
      </c>
      <c r="C139" s="137">
        <v>40913</v>
      </c>
      <c r="D139" s="136" t="s">
        <v>159</v>
      </c>
    </row>
    <row r="140" spans="1:4" x14ac:dyDescent="0.35">
      <c r="A140" s="54">
        <v>440966</v>
      </c>
      <c r="B140" s="135">
        <v>40913</v>
      </c>
      <c r="C140" s="137">
        <v>40451</v>
      </c>
      <c r="D140" s="136" t="s">
        <v>159</v>
      </c>
    </row>
    <row r="141" spans="1:4" x14ac:dyDescent="0.35">
      <c r="A141" s="54">
        <v>441236</v>
      </c>
      <c r="B141" s="135">
        <v>40451</v>
      </c>
      <c r="C141" s="137">
        <v>39992</v>
      </c>
      <c r="D141" s="136" t="s">
        <v>159</v>
      </c>
    </row>
    <row r="142" spans="1:4" x14ac:dyDescent="0.35">
      <c r="A142" s="54">
        <v>441506</v>
      </c>
      <c r="B142" s="135">
        <v>39992</v>
      </c>
      <c r="C142" s="137">
        <v>39530</v>
      </c>
      <c r="D142" s="136" t="s">
        <v>159</v>
      </c>
    </row>
    <row r="143" spans="1:4" x14ac:dyDescent="0.35">
      <c r="A143" s="54">
        <v>441774</v>
      </c>
      <c r="B143" s="135">
        <v>39530</v>
      </c>
      <c r="C143" s="137">
        <v>39073</v>
      </c>
      <c r="D143" s="136" t="s">
        <v>159</v>
      </c>
    </row>
    <row r="144" spans="1:4" x14ac:dyDescent="0.35">
      <c r="A144" s="54">
        <v>442044</v>
      </c>
      <c r="B144" s="135">
        <v>39073</v>
      </c>
      <c r="C144" s="137">
        <v>38613</v>
      </c>
      <c r="D144" s="136" t="s">
        <v>159</v>
      </c>
    </row>
    <row r="145" spans="1:4" x14ac:dyDescent="0.35">
      <c r="A145" s="54">
        <v>442314</v>
      </c>
      <c r="B145" s="135">
        <v>38613</v>
      </c>
      <c r="C145" s="137">
        <v>38153</v>
      </c>
      <c r="D145" s="136" t="s">
        <v>159</v>
      </c>
    </row>
    <row r="146" spans="1:4" x14ac:dyDescent="0.35">
      <c r="A146" s="54">
        <v>442582</v>
      </c>
      <c r="B146" s="135">
        <v>38153</v>
      </c>
      <c r="C146" s="137">
        <v>37696</v>
      </c>
      <c r="D146" s="136" t="s">
        <v>159</v>
      </c>
    </row>
    <row r="147" spans="1:4" x14ac:dyDescent="0.35">
      <c r="A147" s="54">
        <v>442852</v>
      </c>
      <c r="B147" s="135">
        <v>37696</v>
      </c>
      <c r="C147" s="137">
        <v>37238</v>
      </c>
      <c r="D147" s="136" t="s">
        <v>159</v>
      </c>
    </row>
    <row r="148" spans="1:4" x14ac:dyDescent="0.35">
      <c r="A148" s="54">
        <v>443121</v>
      </c>
      <c r="B148" s="135">
        <v>37238</v>
      </c>
      <c r="C148" s="137">
        <v>36784</v>
      </c>
      <c r="D148" s="136" t="s">
        <v>159</v>
      </c>
    </row>
    <row r="149" spans="1:4" x14ac:dyDescent="0.35">
      <c r="A149" s="54">
        <v>443391</v>
      </c>
      <c r="B149" s="135">
        <v>36784</v>
      </c>
      <c r="C149" s="137">
        <v>36327</v>
      </c>
      <c r="D149" s="136" t="s">
        <v>159</v>
      </c>
    </row>
    <row r="150" spans="1:4" x14ac:dyDescent="0.35">
      <c r="A150" s="54">
        <v>443661</v>
      </c>
      <c r="B150" s="135">
        <v>36327</v>
      </c>
      <c r="C150" s="137">
        <v>35873</v>
      </c>
      <c r="D150" s="136" t="s">
        <v>159</v>
      </c>
    </row>
    <row r="151" spans="1:4" x14ac:dyDescent="0.35">
      <c r="A151" s="54">
        <v>443929</v>
      </c>
      <c r="B151" s="135">
        <v>35873</v>
      </c>
      <c r="C151" s="137">
        <v>35417</v>
      </c>
      <c r="D151" s="136" t="s">
        <v>159</v>
      </c>
    </row>
    <row r="152" spans="1:4" x14ac:dyDescent="0.35">
      <c r="A152" s="54">
        <v>444199</v>
      </c>
      <c r="B152" s="135">
        <v>35417</v>
      </c>
      <c r="C152" s="137">
        <v>34963</v>
      </c>
      <c r="D152" s="136" t="s">
        <v>159</v>
      </c>
    </row>
    <row r="153" spans="1:4" x14ac:dyDescent="0.35">
      <c r="A153" s="54">
        <v>444469</v>
      </c>
      <c r="B153" s="135">
        <v>34963</v>
      </c>
      <c r="C153" s="137">
        <v>34507</v>
      </c>
      <c r="D153" s="136" t="s">
        <v>159</v>
      </c>
    </row>
    <row r="154" spans="1:4" x14ac:dyDescent="0.35">
      <c r="A154" s="54">
        <v>444737</v>
      </c>
      <c r="B154" s="135">
        <v>34507</v>
      </c>
      <c r="C154" s="137">
        <v>34054</v>
      </c>
      <c r="D154" s="136" t="s">
        <v>159</v>
      </c>
    </row>
    <row r="155" spans="1:4" x14ac:dyDescent="0.35">
      <c r="A155" s="54">
        <v>445007</v>
      </c>
      <c r="B155" s="135">
        <v>34054</v>
      </c>
      <c r="C155" s="137">
        <v>33602</v>
      </c>
      <c r="D155" s="136" t="s">
        <v>159</v>
      </c>
    </row>
    <row r="156" spans="1:4" x14ac:dyDescent="0.35">
      <c r="A156" s="54">
        <v>445276</v>
      </c>
      <c r="B156" s="135">
        <v>33602</v>
      </c>
      <c r="C156" s="137">
        <v>33150</v>
      </c>
      <c r="D156" s="136" t="s">
        <v>159</v>
      </c>
    </row>
    <row r="157" spans="1:4" x14ac:dyDescent="0.35">
      <c r="A157" s="54">
        <v>445546</v>
      </c>
      <c r="B157" s="135">
        <v>33150</v>
      </c>
      <c r="C157" s="137">
        <v>32697</v>
      </c>
      <c r="D157" s="136" t="s">
        <v>159</v>
      </c>
    </row>
    <row r="158" spans="1:4" x14ac:dyDescent="0.35">
      <c r="A158" s="54">
        <v>445816</v>
      </c>
      <c r="B158" s="135">
        <v>32697</v>
      </c>
      <c r="C158" s="137">
        <v>32245</v>
      </c>
      <c r="D158" s="136" t="s">
        <v>159</v>
      </c>
    </row>
    <row r="159" spans="1:4" x14ac:dyDescent="0.35">
      <c r="A159" s="54">
        <v>446084</v>
      </c>
      <c r="B159" s="135">
        <v>32245</v>
      </c>
      <c r="C159" s="137">
        <v>31794</v>
      </c>
      <c r="D159" s="136" t="s">
        <v>159</v>
      </c>
    </row>
    <row r="160" spans="1:4" x14ac:dyDescent="0.35">
      <c r="A160" s="54">
        <v>446354</v>
      </c>
      <c r="B160" s="135">
        <v>31794</v>
      </c>
      <c r="C160" s="137">
        <v>31345</v>
      </c>
      <c r="D160" s="136" t="s">
        <v>159</v>
      </c>
    </row>
    <row r="161" spans="1:4" x14ac:dyDescent="0.35">
      <c r="A161" s="54">
        <v>446624</v>
      </c>
      <c r="B161" s="135">
        <v>31345</v>
      </c>
      <c r="C161" s="137">
        <v>30894</v>
      </c>
      <c r="D161" s="136" t="s">
        <v>159</v>
      </c>
    </row>
    <row r="162" spans="1:4" x14ac:dyDescent="0.35">
      <c r="A162" s="54">
        <v>446892</v>
      </c>
      <c r="B162" s="135">
        <v>30894</v>
      </c>
      <c r="C162" s="137">
        <v>30445</v>
      </c>
      <c r="D162" s="136" t="s">
        <v>159</v>
      </c>
    </row>
    <row r="163" spans="1:4" x14ac:dyDescent="0.35">
      <c r="A163" s="54">
        <v>447162</v>
      </c>
      <c r="B163" s="135">
        <v>30445</v>
      </c>
      <c r="C163" s="137">
        <v>29995</v>
      </c>
      <c r="D163" s="136" t="s">
        <v>159</v>
      </c>
    </row>
    <row r="164" spans="1:4" x14ac:dyDescent="0.35">
      <c r="A164" s="54">
        <v>447431</v>
      </c>
      <c r="B164" s="135">
        <v>29995</v>
      </c>
      <c r="C164" s="137">
        <v>29548</v>
      </c>
      <c r="D164" s="136" t="s">
        <v>159</v>
      </c>
    </row>
    <row r="165" spans="1:4" x14ac:dyDescent="0.35">
      <c r="A165" s="54">
        <v>447701</v>
      </c>
      <c r="B165" s="135">
        <v>29548</v>
      </c>
      <c r="C165" s="137">
        <v>29097</v>
      </c>
      <c r="D165" s="136" t="s">
        <v>159</v>
      </c>
    </row>
    <row r="166" spans="1:4" x14ac:dyDescent="0.35">
      <c r="A166" s="54">
        <v>447971</v>
      </c>
      <c r="B166" s="135">
        <v>29097</v>
      </c>
      <c r="C166" s="137">
        <v>28650</v>
      </c>
      <c r="D166" s="136" t="s">
        <v>159</v>
      </c>
    </row>
    <row r="167" spans="1:4" x14ac:dyDescent="0.35">
      <c r="A167" s="54">
        <v>448239</v>
      </c>
      <c r="B167" s="135">
        <v>28650</v>
      </c>
      <c r="C167" s="137">
        <v>28203</v>
      </c>
      <c r="D167" s="136" t="s">
        <v>159</v>
      </c>
    </row>
    <row r="168" spans="1:4" x14ac:dyDescent="0.35">
      <c r="A168" s="54">
        <v>448509</v>
      </c>
      <c r="B168" s="135">
        <v>28203</v>
      </c>
      <c r="C168" s="137">
        <v>27756</v>
      </c>
      <c r="D168" s="136" t="s">
        <v>159</v>
      </c>
    </row>
    <row r="169" spans="1:4" x14ac:dyDescent="0.35">
      <c r="A169" s="54">
        <v>448779</v>
      </c>
      <c r="B169" s="135">
        <v>27756</v>
      </c>
      <c r="C169" s="137">
        <v>27312</v>
      </c>
      <c r="D169" s="136" t="s">
        <v>159</v>
      </c>
    </row>
    <row r="170" spans="1:4" x14ac:dyDescent="0.35">
      <c r="A170" s="54">
        <v>449047</v>
      </c>
      <c r="B170" s="135">
        <v>27312</v>
      </c>
      <c r="C170" s="137">
        <v>26865</v>
      </c>
      <c r="D170" s="136" t="s">
        <v>159</v>
      </c>
    </row>
    <row r="171" spans="1:4" x14ac:dyDescent="0.35">
      <c r="A171" s="54">
        <v>449317</v>
      </c>
      <c r="B171" s="135">
        <v>26865</v>
      </c>
      <c r="C171" s="137">
        <v>26420</v>
      </c>
      <c r="D171" s="136" t="s">
        <v>159</v>
      </c>
    </row>
    <row r="172" spans="1:4" x14ac:dyDescent="0.35">
      <c r="A172" s="54">
        <v>449586</v>
      </c>
      <c r="B172" s="135">
        <v>26420</v>
      </c>
      <c r="C172" s="137">
        <v>25976</v>
      </c>
      <c r="D172" s="136" t="s">
        <v>159</v>
      </c>
    </row>
    <row r="173" spans="1:4" x14ac:dyDescent="0.35">
      <c r="A173" s="54">
        <v>449856</v>
      </c>
      <c r="B173" s="135">
        <v>25976</v>
      </c>
      <c r="C173" s="137">
        <v>25531</v>
      </c>
      <c r="D173" s="136" t="s">
        <v>159</v>
      </c>
    </row>
    <row r="174" spans="1:4" x14ac:dyDescent="0.35">
      <c r="A174" s="54">
        <v>450125</v>
      </c>
      <c r="B174" s="135">
        <v>25531</v>
      </c>
      <c r="C174" s="137">
        <v>25087</v>
      </c>
      <c r="D174" s="136" t="s">
        <v>159</v>
      </c>
    </row>
    <row r="175" spans="1:4" x14ac:dyDescent="0.35">
      <c r="A175" s="54">
        <v>450394</v>
      </c>
      <c r="B175" s="135">
        <v>25087</v>
      </c>
      <c r="C175" s="137">
        <v>24642</v>
      </c>
      <c r="D175" s="136" t="s">
        <v>159</v>
      </c>
    </row>
    <row r="176" spans="1:4" x14ac:dyDescent="0.35">
      <c r="A176" s="54">
        <v>450664</v>
      </c>
      <c r="B176" s="135">
        <v>24642</v>
      </c>
      <c r="C176" s="137">
        <v>24199</v>
      </c>
      <c r="D176" s="136" t="s">
        <v>159</v>
      </c>
    </row>
    <row r="177" spans="1:4" x14ac:dyDescent="0.35">
      <c r="A177" s="54">
        <v>450932</v>
      </c>
      <c r="B177" s="135">
        <v>24199</v>
      </c>
      <c r="C177" s="137">
        <v>23757</v>
      </c>
      <c r="D177" s="136" t="s">
        <v>159</v>
      </c>
    </row>
    <row r="178" spans="1:4" x14ac:dyDescent="0.35">
      <c r="A178" s="54">
        <v>451202</v>
      </c>
      <c r="B178" s="135">
        <v>23757</v>
      </c>
      <c r="C178" s="137">
        <v>23315</v>
      </c>
      <c r="D178" s="136" t="s">
        <v>159</v>
      </c>
    </row>
    <row r="179" spans="1:4" x14ac:dyDescent="0.35">
      <c r="A179" s="54">
        <v>451472</v>
      </c>
      <c r="B179" s="135">
        <v>23315</v>
      </c>
      <c r="C179" s="137">
        <v>22873</v>
      </c>
      <c r="D179" s="136" t="s">
        <v>159</v>
      </c>
    </row>
    <row r="180" spans="1:4" x14ac:dyDescent="0.35">
      <c r="A180" s="54">
        <v>451741</v>
      </c>
      <c r="B180" s="135">
        <v>22873</v>
      </c>
      <c r="C180" s="137">
        <v>22432</v>
      </c>
      <c r="D180" s="136" t="s">
        <v>159</v>
      </c>
    </row>
    <row r="181" spans="1:4" x14ac:dyDescent="0.35">
      <c r="A181" s="54">
        <v>452011</v>
      </c>
      <c r="B181" s="135">
        <v>22432</v>
      </c>
      <c r="C181" s="137">
        <v>21988</v>
      </c>
      <c r="D181" s="136" t="s">
        <v>159</v>
      </c>
    </row>
    <row r="182" spans="1:4" x14ac:dyDescent="0.35">
      <c r="A182" s="54">
        <v>452281</v>
      </c>
      <c r="B182" s="135">
        <v>21988</v>
      </c>
      <c r="C182" s="137">
        <v>21550</v>
      </c>
      <c r="D182" s="136" t="s">
        <v>159</v>
      </c>
    </row>
    <row r="183" spans="1:4" x14ac:dyDescent="0.35">
      <c r="A183" s="54">
        <v>452549</v>
      </c>
      <c r="B183" s="135">
        <v>21550</v>
      </c>
      <c r="C183" s="137">
        <v>21108</v>
      </c>
      <c r="D183" s="136" t="s">
        <v>159</v>
      </c>
    </row>
    <row r="184" spans="1:4" x14ac:dyDescent="0.35">
      <c r="A184" s="54">
        <v>452819</v>
      </c>
      <c r="B184" s="135">
        <v>21108</v>
      </c>
      <c r="C184" s="137">
        <v>20668</v>
      </c>
      <c r="D184" s="136" t="s">
        <v>159</v>
      </c>
    </row>
    <row r="185" spans="1:4" x14ac:dyDescent="0.35">
      <c r="A185" s="54">
        <v>453087</v>
      </c>
      <c r="B185" s="135">
        <v>20668</v>
      </c>
      <c r="C185" s="137">
        <v>20230</v>
      </c>
      <c r="D185" s="136" t="s">
        <v>159</v>
      </c>
    </row>
    <row r="186" spans="1:4" x14ac:dyDescent="0.35">
      <c r="A186" s="54">
        <v>453357</v>
      </c>
      <c r="B186" s="135">
        <v>20230</v>
      </c>
      <c r="C186" s="137">
        <v>19790</v>
      </c>
      <c r="D186" s="136" t="s">
        <v>159</v>
      </c>
    </row>
    <row r="187" spans="1:4" x14ac:dyDescent="0.35">
      <c r="A187" s="54">
        <v>453627</v>
      </c>
      <c r="B187" s="135">
        <v>19790</v>
      </c>
      <c r="C187" s="137">
        <v>19352</v>
      </c>
      <c r="D187" s="136" t="s">
        <v>159</v>
      </c>
    </row>
    <row r="188" spans="1:4" x14ac:dyDescent="0.35">
      <c r="A188" s="54">
        <v>453896</v>
      </c>
      <c r="B188" s="135">
        <v>19352</v>
      </c>
      <c r="C188" s="137">
        <v>18916</v>
      </c>
      <c r="D188" s="136" t="s">
        <v>159</v>
      </c>
    </row>
    <row r="189" spans="1:4" x14ac:dyDescent="0.35">
      <c r="A189" s="54">
        <v>454166</v>
      </c>
      <c r="B189" s="135">
        <v>18916</v>
      </c>
      <c r="C189" s="137">
        <v>18476</v>
      </c>
      <c r="D189" s="136" t="s">
        <v>159</v>
      </c>
    </row>
    <row r="190" spans="1:4" x14ac:dyDescent="0.35">
      <c r="A190" s="54">
        <v>454436</v>
      </c>
      <c r="B190" s="135">
        <v>18476</v>
      </c>
      <c r="C190" s="137">
        <v>18039</v>
      </c>
      <c r="D190" s="136" t="s">
        <v>159</v>
      </c>
    </row>
    <row r="191" spans="1:4" x14ac:dyDescent="0.35">
      <c r="A191" s="54">
        <v>454704</v>
      </c>
      <c r="B191" s="135">
        <v>18039</v>
      </c>
      <c r="C191" s="137">
        <v>17601</v>
      </c>
      <c r="D191" s="136" t="s">
        <v>159</v>
      </c>
    </row>
    <row r="192" spans="1:4" x14ac:dyDescent="0.35">
      <c r="A192" s="54">
        <v>454974</v>
      </c>
      <c r="B192" s="135">
        <v>17601</v>
      </c>
      <c r="C192" s="137">
        <v>17165</v>
      </c>
      <c r="D192" s="136" t="s">
        <v>159</v>
      </c>
    </row>
    <row r="193" spans="1:4" x14ac:dyDescent="0.35">
      <c r="A193" s="54">
        <v>455242</v>
      </c>
      <c r="B193" s="135">
        <v>17165</v>
      </c>
      <c r="C193" s="137">
        <v>16729</v>
      </c>
      <c r="D193" s="136" t="s">
        <v>159</v>
      </c>
    </row>
    <row r="194" spans="1:4" x14ac:dyDescent="0.35">
      <c r="A194" s="54">
        <v>455512</v>
      </c>
      <c r="B194" s="135">
        <v>16729</v>
      </c>
      <c r="C194" s="137">
        <v>16294</v>
      </c>
      <c r="D194" s="136" t="s">
        <v>159</v>
      </c>
    </row>
    <row r="195" spans="1:4" x14ac:dyDescent="0.35">
      <c r="A195" s="54">
        <v>455782</v>
      </c>
      <c r="B195" s="135">
        <v>16294</v>
      </c>
      <c r="C195" s="137">
        <v>15858</v>
      </c>
      <c r="D195" s="136" t="s">
        <v>159</v>
      </c>
    </row>
    <row r="196" spans="1:4" x14ac:dyDescent="0.35">
      <c r="A196" s="54">
        <v>456051</v>
      </c>
      <c r="B196" s="135">
        <v>15858</v>
      </c>
      <c r="C196" s="137">
        <v>15425</v>
      </c>
      <c r="D196" s="136" t="s">
        <v>159</v>
      </c>
    </row>
    <row r="197" spans="1:4" x14ac:dyDescent="0.35">
      <c r="A197" s="54">
        <v>456321</v>
      </c>
      <c r="B197" s="135">
        <v>15425</v>
      </c>
      <c r="C197" s="137">
        <v>14988</v>
      </c>
      <c r="D197" s="136" t="s">
        <v>159</v>
      </c>
    </row>
    <row r="198" spans="1:4" x14ac:dyDescent="0.35">
      <c r="A198" s="54">
        <v>456591</v>
      </c>
      <c r="B198" s="135">
        <v>14988</v>
      </c>
      <c r="C198" s="137">
        <v>14554</v>
      </c>
      <c r="D198" s="136" t="s">
        <v>159</v>
      </c>
    </row>
    <row r="199" spans="1:4" x14ac:dyDescent="0.35">
      <c r="A199" s="54">
        <v>456859</v>
      </c>
      <c r="B199" s="135">
        <v>14554</v>
      </c>
      <c r="C199" s="137">
        <v>14121</v>
      </c>
      <c r="D199" s="136" t="s">
        <v>159</v>
      </c>
    </row>
    <row r="200" spans="1:4" x14ac:dyDescent="0.35">
      <c r="A200" s="54">
        <v>457129</v>
      </c>
      <c r="B200" s="135">
        <v>14121</v>
      </c>
      <c r="C200" s="137">
        <v>13687</v>
      </c>
      <c r="D200" s="136" t="s">
        <v>159</v>
      </c>
    </row>
    <row r="201" spans="1:4" x14ac:dyDescent="0.35">
      <c r="A201" s="54">
        <v>457397</v>
      </c>
      <c r="B201" s="135">
        <v>13687</v>
      </c>
      <c r="C201" s="137">
        <v>13254</v>
      </c>
      <c r="D201" s="136" t="s">
        <v>159</v>
      </c>
    </row>
    <row r="202" spans="1:4" x14ac:dyDescent="0.35">
      <c r="A202" s="54">
        <v>457667</v>
      </c>
      <c r="B202" s="135">
        <v>13254</v>
      </c>
      <c r="C202" s="137">
        <v>12823</v>
      </c>
      <c r="D202" s="136" t="s">
        <v>159</v>
      </c>
    </row>
    <row r="203" spans="1:4" x14ac:dyDescent="0.35">
      <c r="A203" s="54">
        <v>457937</v>
      </c>
      <c r="B203" s="135">
        <v>12823</v>
      </c>
      <c r="C203" s="137">
        <v>12389</v>
      </c>
      <c r="D203" s="136" t="s">
        <v>159</v>
      </c>
    </row>
    <row r="204" spans="1:4" x14ac:dyDescent="0.35">
      <c r="A204" s="54">
        <v>458206</v>
      </c>
      <c r="B204" s="135">
        <v>12389</v>
      </c>
      <c r="C204" s="137">
        <v>11957</v>
      </c>
      <c r="D204" s="136" t="s">
        <v>159</v>
      </c>
    </row>
    <row r="205" spans="1:4" x14ac:dyDescent="0.35">
      <c r="A205" s="54">
        <v>458476</v>
      </c>
      <c r="B205" s="135">
        <v>11957</v>
      </c>
      <c r="C205" s="137">
        <v>11524</v>
      </c>
      <c r="D205" s="136" t="s">
        <v>159</v>
      </c>
    </row>
    <row r="206" spans="1:4" x14ac:dyDescent="0.35">
      <c r="A206" s="54">
        <v>458746</v>
      </c>
      <c r="B206" s="135">
        <v>11524</v>
      </c>
      <c r="C206" s="137">
        <v>11093</v>
      </c>
      <c r="D206" s="136" t="s">
        <v>159</v>
      </c>
    </row>
    <row r="207" spans="1:4" x14ac:dyDescent="0.35">
      <c r="A207" s="54">
        <v>459014</v>
      </c>
      <c r="B207" s="135">
        <v>11093</v>
      </c>
      <c r="C207" s="137">
        <v>10662</v>
      </c>
      <c r="D207" s="136" t="s">
        <v>159</v>
      </c>
    </row>
    <row r="208" spans="1:4" x14ac:dyDescent="0.35">
      <c r="A208" s="54">
        <v>459284</v>
      </c>
      <c r="B208" s="135">
        <v>10662</v>
      </c>
      <c r="C208" s="137">
        <v>10231</v>
      </c>
      <c r="D208" s="136" t="s">
        <v>159</v>
      </c>
    </row>
    <row r="209" spans="1:4" x14ac:dyDescent="0.35">
      <c r="A209" s="54">
        <v>459552</v>
      </c>
      <c r="B209" s="135">
        <v>10231</v>
      </c>
      <c r="C209" s="137">
        <v>9802</v>
      </c>
      <c r="D209" s="136" t="s">
        <v>159</v>
      </c>
    </row>
    <row r="210" spans="1:4" x14ac:dyDescent="0.35">
      <c r="A210" s="54">
        <v>459822</v>
      </c>
      <c r="B210" s="135">
        <v>9802</v>
      </c>
      <c r="C210" s="137">
        <v>9371</v>
      </c>
      <c r="D210" s="136" t="s">
        <v>159</v>
      </c>
    </row>
    <row r="211" spans="1:4" x14ac:dyDescent="0.35">
      <c r="A211" s="54">
        <v>460092</v>
      </c>
      <c r="B211" s="135">
        <v>9371</v>
      </c>
      <c r="C211" s="137">
        <v>8944</v>
      </c>
      <c r="D211" s="136" t="s">
        <v>159</v>
      </c>
    </row>
    <row r="212" spans="1:4" x14ac:dyDescent="0.35">
      <c r="A212" s="54">
        <v>460361</v>
      </c>
      <c r="B212" s="135">
        <v>8944</v>
      </c>
      <c r="C212" s="137">
        <v>8513</v>
      </c>
      <c r="D212" s="136" t="s">
        <v>159</v>
      </c>
    </row>
    <row r="213" spans="1:4" x14ac:dyDescent="0.35">
      <c r="A213" s="54">
        <v>460631</v>
      </c>
      <c r="B213" s="135">
        <v>8513</v>
      </c>
      <c r="C213" s="137">
        <v>8084</v>
      </c>
      <c r="D213" s="136" t="s">
        <v>159</v>
      </c>
    </row>
    <row r="214" spans="1:4" x14ac:dyDescent="0.35">
      <c r="A214" s="54">
        <v>460901</v>
      </c>
      <c r="B214" s="135">
        <v>8084</v>
      </c>
      <c r="C214" s="137">
        <v>7656</v>
      </c>
      <c r="D214" s="136" t="s">
        <v>159</v>
      </c>
    </row>
    <row r="215" spans="1:4" x14ac:dyDescent="0.35">
      <c r="A215" s="54">
        <v>461169</v>
      </c>
      <c r="B215" s="135">
        <v>7656</v>
      </c>
      <c r="C215" s="137">
        <v>7227</v>
      </c>
      <c r="D215" s="136" t="s">
        <v>159</v>
      </c>
    </row>
    <row r="216" spans="1:4" x14ac:dyDescent="0.35">
      <c r="A216" s="54">
        <v>461439</v>
      </c>
      <c r="B216" s="135">
        <v>7227</v>
      </c>
      <c r="C216" s="137">
        <v>6799</v>
      </c>
      <c r="D216" s="136" t="s">
        <v>159</v>
      </c>
    </row>
    <row r="217" spans="1:4" x14ac:dyDescent="0.35">
      <c r="A217" s="54">
        <v>461707</v>
      </c>
      <c r="B217" s="135">
        <v>6799</v>
      </c>
      <c r="C217" s="137">
        <v>6374</v>
      </c>
      <c r="D217" s="136" t="s">
        <v>159</v>
      </c>
    </row>
    <row r="218" spans="1:4" x14ac:dyDescent="0.35">
      <c r="A218" s="54">
        <v>461977</v>
      </c>
      <c r="B218" s="135">
        <v>6374</v>
      </c>
      <c r="C218" s="137">
        <v>5945</v>
      </c>
      <c r="D218" s="136" t="s">
        <v>159</v>
      </c>
    </row>
    <row r="219" spans="1:4" x14ac:dyDescent="0.35">
      <c r="A219" s="54">
        <v>462247</v>
      </c>
      <c r="B219" s="135">
        <v>5945</v>
      </c>
      <c r="C219" s="137">
        <v>5519</v>
      </c>
      <c r="D219" s="136" t="s">
        <v>159</v>
      </c>
    </row>
    <row r="220" spans="1:4" x14ac:dyDescent="0.35">
      <c r="A220" s="54">
        <v>462516</v>
      </c>
      <c r="B220" s="135">
        <v>5519</v>
      </c>
      <c r="C220" s="137">
        <v>5092</v>
      </c>
      <c r="D220" s="136" t="s">
        <v>159</v>
      </c>
    </row>
    <row r="221" spans="1:4" x14ac:dyDescent="0.35">
      <c r="A221" s="54">
        <v>462786</v>
      </c>
      <c r="B221" s="135">
        <v>5092</v>
      </c>
      <c r="C221" s="137">
        <v>4666</v>
      </c>
      <c r="D221" s="136" t="s">
        <v>159</v>
      </c>
    </row>
    <row r="222" spans="1:4" x14ac:dyDescent="0.35">
      <c r="A222" s="54">
        <v>463056</v>
      </c>
      <c r="B222" s="135">
        <v>4666</v>
      </c>
      <c r="C222" s="137">
        <v>4240</v>
      </c>
      <c r="D222" s="136" t="s">
        <v>159</v>
      </c>
    </row>
    <row r="223" spans="1:4" x14ac:dyDescent="0.35">
      <c r="A223" s="54">
        <v>463324</v>
      </c>
      <c r="B223" s="135">
        <v>4240</v>
      </c>
      <c r="C223" s="137">
        <v>3815</v>
      </c>
      <c r="D223" s="136" t="s">
        <v>159</v>
      </c>
    </row>
    <row r="224" spans="1:4" x14ac:dyDescent="0.35">
      <c r="A224" s="54">
        <v>463594</v>
      </c>
      <c r="B224" s="135">
        <v>3815</v>
      </c>
      <c r="C224" s="137">
        <v>3389</v>
      </c>
      <c r="D224" s="136" t="s">
        <v>159</v>
      </c>
    </row>
    <row r="225" spans="1:4" x14ac:dyDescent="0.35">
      <c r="A225" s="54">
        <v>463862</v>
      </c>
      <c r="B225" s="135">
        <v>3389</v>
      </c>
      <c r="C225" s="137">
        <v>2965</v>
      </c>
      <c r="D225" s="136" t="s">
        <v>159</v>
      </c>
    </row>
    <row r="226" spans="1:4" x14ac:dyDescent="0.35">
      <c r="A226" s="54">
        <v>464132</v>
      </c>
      <c r="B226" s="135">
        <v>2965</v>
      </c>
      <c r="C226" s="137">
        <v>2540</v>
      </c>
      <c r="D226" s="136" t="s">
        <v>159</v>
      </c>
    </row>
    <row r="227" spans="1:4" x14ac:dyDescent="0.35">
      <c r="A227" s="54">
        <v>464402</v>
      </c>
      <c r="B227" s="135">
        <v>2540</v>
      </c>
      <c r="C227" s="137">
        <v>2117</v>
      </c>
      <c r="D227" s="136" t="s">
        <v>159</v>
      </c>
    </row>
    <row r="228" spans="1:4" x14ac:dyDescent="0.35">
      <c r="A228" s="54">
        <v>464671</v>
      </c>
      <c r="B228" s="135">
        <v>2117</v>
      </c>
      <c r="C228" s="137">
        <v>1692</v>
      </c>
      <c r="D228" s="136" t="s">
        <v>159</v>
      </c>
    </row>
    <row r="229" spans="1:4" x14ac:dyDescent="0.35">
      <c r="A229" s="54">
        <v>464941</v>
      </c>
      <c r="B229" s="135">
        <v>1692</v>
      </c>
      <c r="C229" s="137">
        <v>1268</v>
      </c>
      <c r="D229" s="136" t="s">
        <v>159</v>
      </c>
    </row>
    <row r="230" spans="1:4" x14ac:dyDescent="0.35">
      <c r="A230" s="54">
        <v>465211</v>
      </c>
      <c r="B230" s="135">
        <v>1268</v>
      </c>
      <c r="C230" s="137">
        <v>846</v>
      </c>
      <c r="D230" s="136" t="s">
        <v>159</v>
      </c>
    </row>
    <row r="231" spans="1:4" x14ac:dyDescent="0.35">
      <c r="A231" s="54">
        <v>465479</v>
      </c>
      <c r="B231" s="135">
        <v>846</v>
      </c>
      <c r="C231" s="137">
        <v>422</v>
      </c>
      <c r="D231" s="136" t="s">
        <v>159</v>
      </c>
    </row>
    <row r="232" spans="1:4" x14ac:dyDescent="0.35">
      <c r="A232" s="54">
        <v>465749</v>
      </c>
      <c r="B232" s="135">
        <v>422</v>
      </c>
      <c r="C232" s="137">
        <v>0</v>
      </c>
      <c r="D232" s="136" t="s">
        <v>159</v>
      </c>
    </row>
    <row r="233" spans="1:4" x14ac:dyDescent="0.35">
      <c r="A233" s="54">
        <v>466017</v>
      </c>
      <c r="B233" s="135">
        <v>0</v>
      </c>
      <c r="C233" s="137"/>
      <c r="D233" s="136" t="s">
        <v>159</v>
      </c>
    </row>
  </sheetData>
  <sheetProtection algorithmName="SHA-512" hashValue="00QMaNnFgi/DDc8fdZrpsCP4dcWTyPQ17SWDi7LhFKYCSqzaQmGip25Jl2fJ54qvCw2yURyOtHOpz+VssFZPRA==" saltValue="qvLB0Qyh3fOfKry7M3Q/z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r T Y U o H 2 I D u k A A A A 9 Q A A A B I A H A B D b 2 5 m a W c v U G F j a 2 F n Z S 5 4 b W w g o h g A K K A U A A A A A A A A A A A A A A A A A A A A A A A A A A A A h Y + x D o I w G I R f h X S n L c V B y U + J c Z X E a G J c m 1 K h E Y q h x f J u D j 6 S r y B G U T f H + + 4 u u b t f b 5 A N T R 1 c V G d 1 a 1 I U Y Y o C Z W R b a F O m q H f H c I 4 y D h s h T 6 J U w R g 2 N h m s T l H l 3 D k h x H u P f Y z b r i S M 0 o g c 8 v V O V q o R o T b W C S M V + r S K / y 3 E Y f 8 a w x l e x H j G G K Z A J g a 5 N l + f j X O f 7 g + E V V + 7 v l N c 2 X C 5 B T J J I O 8 L / A F Q S w M E F A A C A A g A y r T Y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0 2 F I o i k e 4 D g A A A B E A A A A T A B w A R m 9 y b X V s Y X M v U 2 V j d G l v b j E u b S C i G A A o o B Q A A A A A A A A A A A A A A A A A A A A A A A A A A A A r T k 0 u y c z P U w i G 0 I b W A F B L A Q I t A B Q A A g A I A M q 0 2 F K B 9 i A 7 p A A A A P U A A A A S A A A A A A A A A A A A A A A A A A A A A A B D b 2 5 m a W c v U G F j a 2 F n Z S 5 4 b W x Q S w E C L Q A U A A I A C A D K t N h S D 8 r p q 6 Q A A A D p A A A A E w A A A A A A A A A A A A A A A A D w A A A A W 0 N v b n R l b n R f V H l w Z X N d L n h t b F B L A Q I t A B Q A A g A I A M q 0 2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a A X G J e t a T Z u I q o 4 p 0 M S n A A A A A A I A A A A A A B B m A A A A A Q A A I A A A A L h b O 3 k H e 7 Q M 1 h S c t 2 G Z h y u 9 M D Z e s 0 B E 8 Z l 8 L T M a X I M P A A A A A A 6 A A A A A A g A A I A A A A L g Q 3 a J j c W F y k x Y U J J 5 M 6 a q S T 1 z S M z Y P h y a 1 c n s P y j 2 e U A A A A D Q T 5 j R W 9 G W j n n 0 I 7 + / j G / o v q R e X 0 t r 0 / r w z z A d V G 4 r i i 9 8 T e P 5 N b I K 6 y K 5 I 7 N l T C L 9 + i B j J 7 I Z O o Q 0 K w k F P U g L R h M v P g M 2 s Z V n o I z O i U Q 6 J Q A A A A E M S f u e + C P b Q B a i e / c Q T g b R m p H J Y J R B A K 4 c P 3 S N 8 D l e o 1 G I s u x S U z O H x p C + l f m t k V a c p S 5 J 0 A r C C j q V k p p x K Z E s = < / D a t a M a s h u p > 
</file>

<file path=customXml/itemProps1.xml><?xml version="1.0" encoding="utf-8"?>
<ds:datastoreItem xmlns:ds="http://schemas.openxmlformats.org/officeDocument/2006/customXml" ds:itemID="{52A36932-A8C8-4BEF-A09D-60E362019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Liquidación</vt:lpstr>
      <vt:lpstr>Escala Impuesto 2023 mensual</vt:lpstr>
      <vt:lpstr>AnexoIV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Paula Andrea</cp:lastModifiedBy>
  <cp:revision/>
  <cp:lastPrinted>2022-12-28T21:59:59Z</cp:lastPrinted>
  <dcterms:created xsi:type="dcterms:W3CDTF">2021-06-15T23:45:15Z</dcterms:created>
  <dcterms:modified xsi:type="dcterms:W3CDTF">2023-01-02T22:30:04Z</dcterms:modified>
  <cp:category/>
  <cp:contentStatus/>
</cp:coreProperties>
</file>