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omicasuba-my.sharepoint.com/personal/70at22963260_campus_economicas_uba_ar/Documents/Documentos/Consejo/Planilla 4 categoría Revisión/Modelo 2022/DEF RG 5206/"/>
    </mc:Choice>
  </mc:AlternateContent>
  <xr:revisionPtr revIDLastSave="2" documentId="8_{839685C4-D3E1-4B9E-B5DA-FE9ACE1062D2}" xr6:coauthVersionLast="47" xr6:coauthVersionMax="47" xr10:uidLastSave="{C90E8874-7511-4E6F-9096-5A3B6B1A29CE}"/>
  <workbookProtection workbookAlgorithmName="SHA-512" workbookHashValue="atanDMTIoHrIufLY2tscGER4B4QtpVBKGzEsEJC077F5mN3j1UB/iyG9n3Seg2tDeiP1WiJPWw+wFuh8d1YDtw==" workbookSaltValue="WSuUroMZSXD13knGfCMN1A==" workbookSpinCount="100000" lockStructure="1"/>
  <bookViews>
    <workbookView xWindow="-120" yWindow="-120" windowWidth="29040" windowHeight="15840" xr2:uid="{00000000-000D-0000-FFFF-FFFF00000000}"/>
  </bookViews>
  <sheets>
    <sheet name="Planilla de Liquidación" sheetId="1" r:id="rId1"/>
    <sheet name="Escala Impuesto 2022 mensual" sheetId="2" r:id="rId2"/>
    <sheet name="AnexoIV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2" i="1" l="1"/>
  <c r="M81" i="1" s="1"/>
  <c r="E105" i="1"/>
  <c r="E106" i="1"/>
  <c r="E107" i="1"/>
  <c r="E108" i="1"/>
  <c r="E109" i="1"/>
  <c r="E111" i="1"/>
  <c r="E110" i="1" s="1"/>
  <c r="E112" i="1"/>
  <c r="E113" i="1"/>
  <c r="D113" i="1"/>
  <c r="D112" i="1"/>
  <c r="D111" i="1"/>
  <c r="D109" i="1"/>
  <c r="D108" i="1"/>
  <c r="D107" i="1"/>
  <c r="D106" i="1"/>
  <c r="D105" i="1"/>
  <c r="D104" i="1"/>
  <c r="E104" i="1" s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B68" i="1" s="1"/>
  <c r="M70" i="1"/>
  <c r="M65" i="1"/>
  <c r="L70" i="1"/>
  <c r="L65" i="1"/>
  <c r="K70" i="1"/>
  <c r="K65" i="1"/>
  <c r="J70" i="1"/>
  <c r="J65" i="1"/>
  <c r="I70" i="1"/>
  <c r="I65" i="1"/>
  <c r="H70" i="1"/>
  <c r="H65" i="1"/>
  <c r="G70" i="1"/>
  <c r="G65" i="1"/>
  <c r="F70" i="1"/>
  <c r="F65" i="1"/>
  <c r="E70" i="1"/>
  <c r="E65" i="1"/>
  <c r="D70" i="1"/>
  <c r="D65" i="1"/>
  <c r="C70" i="1"/>
  <c r="C65" i="1"/>
  <c r="B70" i="1"/>
  <c r="B69" i="1"/>
  <c r="B67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B83" i="1" l="1"/>
  <c r="I83" i="1"/>
  <c r="H83" i="1"/>
  <c r="E103" i="1"/>
  <c r="M82" i="1" s="1"/>
  <c r="K83" i="1"/>
  <c r="D83" i="1"/>
  <c r="E83" i="1"/>
  <c r="G83" i="1"/>
  <c r="L82" i="1"/>
  <c r="F82" i="1"/>
  <c r="D82" i="1"/>
  <c r="G82" i="1"/>
  <c r="G81" i="1"/>
  <c r="K81" i="1"/>
  <c r="H81" i="1"/>
  <c r="C81" i="1"/>
  <c r="D81" i="1"/>
  <c r="L81" i="1"/>
  <c r="E81" i="1"/>
  <c r="F81" i="1"/>
  <c r="I81" i="1"/>
  <c r="B81" i="1"/>
  <c r="J81" i="1"/>
  <c r="C67" i="1"/>
  <c r="D67" i="1" s="1"/>
  <c r="C69" i="1"/>
  <c r="C68" i="1"/>
  <c r="C82" i="1" l="1"/>
  <c r="B82" i="1"/>
  <c r="K82" i="1"/>
  <c r="I82" i="1"/>
  <c r="H82" i="1"/>
  <c r="E82" i="1"/>
  <c r="J82" i="1"/>
  <c r="E67" i="1"/>
  <c r="D69" i="1"/>
  <c r="D68" i="1"/>
  <c r="E68" i="1" s="1"/>
  <c r="E69" i="1" l="1"/>
  <c r="F67" i="1"/>
  <c r="G67" i="1" s="1"/>
  <c r="F68" i="1"/>
  <c r="G68" i="1" s="1"/>
  <c r="H67" i="1" l="1"/>
  <c r="F69" i="1"/>
  <c r="H68" i="1"/>
  <c r="I68" i="1" s="1"/>
  <c r="I67" i="1" l="1"/>
  <c r="J67" i="1" s="1"/>
  <c r="G69" i="1"/>
  <c r="H69" i="1" s="1"/>
  <c r="J68" i="1"/>
  <c r="K68" i="1" s="1"/>
  <c r="K67" i="1" l="1"/>
  <c r="L67" i="1" s="1"/>
  <c r="M67" i="1" s="1"/>
  <c r="I69" i="1"/>
  <c r="L68" i="1"/>
  <c r="M68" i="1" s="1"/>
  <c r="J69" i="1" l="1"/>
  <c r="K69" i="1" s="1"/>
  <c r="L69" i="1" l="1"/>
  <c r="M69" i="1" s="1"/>
  <c r="C160" i="1" l="1"/>
  <c r="C159" i="1"/>
  <c r="C158" i="1"/>
  <c r="B53" i="1"/>
  <c r="M55" i="1"/>
  <c r="L55" i="1"/>
  <c r="K55" i="1"/>
  <c r="J55" i="1"/>
  <c r="I55" i="1"/>
  <c r="H55" i="1"/>
  <c r="G55" i="1"/>
  <c r="F55" i="1"/>
  <c r="E55" i="1"/>
  <c r="D55" i="1"/>
  <c r="C55" i="1"/>
  <c r="B55" i="1"/>
  <c r="M50" i="1"/>
  <c r="L50" i="1"/>
  <c r="K50" i="1"/>
  <c r="J50" i="1"/>
  <c r="I50" i="1"/>
  <c r="H50" i="1"/>
  <c r="G50" i="1"/>
  <c r="F50" i="1"/>
  <c r="E50" i="1"/>
  <c r="D50" i="1"/>
  <c r="C50" i="1"/>
  <c r="B50" i="1"/>
  <c r="M149" i="1"/>
  <c r="M152" i="1" s="1"/>
  <c r="L149" i="1"/>
  <c r="L152" i="1" s="1"/>
  <c r="K149" i="1"/>
  <c r="K152" i="1" s="1"/>
  <c r="J149" i="1"/>
  <c r="J152" i="1" s="1"/>
  <c r="I149" i="1"/>
  <c r="I152" i="1" s="1"/>
  <c r="H149" i="1"/>
  <c r="H152" i="1" s="1"/>
  <c r="G149" i="1"/>
  <c r="G152" i="1" s="1"/>
  <c r="F149" i="1"/>
  <c r="F152" i="1" s="1"/>
  <c r="E149" i="1"/>
  <c r="E152" i="1" s="1"/>
  <c r="D149" i="1"/>
  <c r="D152" i="1" s="1"/>
  <c r="C149" i="1"/>
  <c r="C152" i="1" s="1"/>
  <c r="B149" i="1"/>
  <c r="B152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G151" i="1" l="1"/>
  <c r="G150" i="1"/>
  <c r="H151" i="1"/>
  <c r="H150" i="1"/>
  <c r="I151" i="1"/>
  <c r="I150" i="1"/>
  <c r="F151" i="1"/>
  <c r="F150" i="1"/>
  <c r="J150" i="1"/>
  <c r="J151" i="1"/>
  <c r="C151" i="1"/>
  <c r="C150" i="1"/>
  <c r="K151" i="1"/>
  <c r="K150" i="1"/>
  <c r="D151" i="1"/>
  <c r="D150" i="1"/>
  <c r="L151" i="1"/>
  <c r="L150" i="1"/>
  <c r="B150" i="1"/>
  <c r="B151" i="1"/>
  <c r="E151" i="1"/>
  <c r="E150" i="1"/>
  <c r="M151" i="1"/>
  <c r="M150" i="1"/>
  <c r="C161" i="1"/>
  <c r="C52" i="1" l="1"/>
  <c r="D52" i="1"/>
  <c r="E52" i="1"/>
  <c r="F52" i="1"/>
  <c r="G52" i="1"/>
  <c r="H52" i="1"/>
  <c r="I52" i="1"/>
  <c r="J52" i="1"/>
  <c r="K52" i="1"/>
  <c r="L52" i="1"/>
  <c r="M52" i="1"/>
  <c r="B52" i="1"/>
  <c r="M53" i="1" l="1"/>
  <c r="C53" i="1"/>
  <c r="D53" i="1"/>
  <c r="E53" i="1"/>
  <c r="F53" i="1"/>
  <c r="G53" i="1"/>
  <c r="H53" i="1"/>
  <c r="I53" i="1"/>
  <c r="J53" i="1"/>
  <c r="K53" i="1"/>
  <c r="L53" i="1"/>
  <c r="B47" i="1"/>
  <c r="C126" i="1"/>
  <c r="D126" i="1"/>
  <c r="E126" i="1"/>
  <c r="F126" i="1"/>
  <c r="G126" i="1"/>
  <c r="H126" i="1"/>
  <c r="I126" i="1"/>
  <c r="J126" i="1"/>
  <c r="K126" i="1"/>
  <c r="L126" i="1"/>
  <c r="M126" i="1"/>
  <c r="B126" i="1"/>
  <c r="C47" i="1"/>
  <c r="D47" i="1"/>
  <c r="E47" i="1"/>
  <c r="F47" i="1"/>
  <c r="G47" i="1"/>
  <c r="H47" i="1"/>
  <c r="I47" i="1"/>
  <c r="J47" i="1"/>
  <c r="K47" i="1"/>
  <c r="L47" i="1"/>
  <c r="M47" i="1"/>
  <c r="C48" i="1"/>
  <c r="D48" i="1"/>
  <c r="E48" i="1"/>
  <c r="F48" i="1"/>
  <c r="G48" i="1"/>
  <c r="H48" i="1"/>
  <c r="I48" i="1"/>
  <c r="J48" i="1"/>
  <c r="K48" i="1"/>
  <c r="L48" i="1"/>
  <c r="M48" i="1"/>
  <c r="B48" i="1"/>
  <c r="B19" i="1"/>
  <c r="B16" i="1"/>
  <c r="C121" i="1"/>
  <c r="C83" i="1" s="1"/>
  <c r="F121" i="1"/>
  <c r="F83" i="1" s="1"/>
  <c r="J121" i="1"/>
  <c r="J83" i="1" s="1"/>
  <c r="L121" i="1"/>
  <c r="L83" i="1" s="1"/>
  <c r="M121" i="1"/>
  <c r="M83" i="1" s="1"/>
  <c r="B66" i="1" l="1"/>
  <c r="B22" i="1"/>
  <c r="B21" i="1"/>
  <c r="B20" i="1"/>
  <c r="B41" i="1"/>
  <c r="M19" i="1"/>
  <c r="L19" i="1"/>
  <c r="K19" i="1"/>
  <c r="J19" i="1"/>
  <c r="I19" i="1"/>
  <c r="H19" i="1"/>
  <c r="G19" i="1"/>
  <c r="F19" i="1"/>
  <c r="E19" i="1"/>
  <c r="D19" i="1"/>
  <c r="C19" i="1"/>
  <c r="C66" i="1" l="1"/>
  <c r="B24" i="1"/>
  <c r="B43" i="1"/>
  <c r="B44" i="1" s="1"/>
  <c r="B42" i="1"/>
  <c r="D66" i="1" l="1"/>
  <c r="B87" i="1"/>
  <c r="B88" i="1" s="1"/>
  <c r="E66" i="1" l="1"/>
  <c r="F66" i="1"/>
  <c r="G66" i="1" s="1"/>
  <c r="B26" i="1"/>
  <c r="C16" i="1"/>
  <c r="D16" i="1"/>
  <c r="E16" i="1"/>
  <c r="F16" i="1"/>
  <c r="I16" i="1"/>
  <c r="J16" i="1"/>
  <c r="K16" i="1"/>
  <c r="L16" i="1"/>
  <c r="M16" i="1"/>
  <c r="K21" i="1" l="1"/>
  <c r="K20" i="1"/>
  <c r="K22" i="1"/>
  <c r="H66" i="1"/>
  <c r="L21" i="1"/>
  <c r="L22" i="1"/>
  <c r="L20" i="1"/>
  <c r="M22" i="1"/>
  <c r="M21" i="1"/>
  <c r="M20" i="1"/>
  <c r="J22" i="1"/>
  <c r="J21" i="1"/>
  <c r="J20" i="1"/>
  <c r="I22" i="1"/>
  <c r="I21" i="1"/>
  <c r="I20" i="1"/>
  <c r="B144" i="1"/>
  <c r="B147" i="1"/>
  <c r="F21" i="1"/>
  <c r="F20" i="1"/>
  <c r="F22" i="1"/>
  <c r="E22" i="1"/>
  <c r="E21" i="1"/>
  <c r="E20" i="1"/>
  <c r="D22" i="1"/>
  <c r="D21" i="1"/>
  <c r="D20" i="1"/>
  <c r="C22" i="1"/>
  <c r="C21" i="1"/>
  <c r="C20" i="1"/>
  <c r="M41" i="1"/>
  <c r="L41" i="1"/>
  <c r="K41" i="1"/>
  <c r="J41" i="1"/>
  <c r="I41" i="1"/>
  <c r="F41" i="1"/>
  <c r="E41" i="1"/>
  <c r="D41" i="1"/>
  <c r="C41" i="1"/>
  <c r="I66" i="1" l="1"/>
  <c r="D24" i="1"/>
  <c r="K24" i="1"/>
  <c r="K26" i="1" s="1"/>
  <c r="D43" i="1"/>
  <c r="D44" i="1" s="1"/>
  <c r="E43" i="1"/>
  <c r="E44" i="1" s="1"/>
  <c r="F43" i="1"/>
  <c r="F44" i="1" s="1"/>
  <c r="C43" i="1"/>
  <c r="C44" i="1" s="1"/>
  <c r="D42" i="1"/>
  <c r="E42" i="1"/>
  <c r="C42" i="1"/>
  <c r="F42" i="1"/>
  <c r="J24" i="1"/>
  <c r="J26" i="1" s="1"/>
  <c r="F24" i="1"/>
  <c r="F26" i="1" s="1"/>
  <c r="I24" i="1"/>
  <c r="I26" i="1" s="1"/>
  <c r="L24" i="1"/>
  <c r="L26" i="1" s="1"/>
  <c r="E24" i="1"/>
  <c r="E26" i="1" s="1"/>
  <c r="M24" i="1"/>
  <c r="M26" i="1" s="1"/>
  <c r="C24" i="1"/>
  <c r="C26" i="1" s="1"/>
  <c r="B145" i="1"/>
  <c r="B146" i="1" s="1"/>
  <c r="B153" i="1" s="1"/>
  <c r="D26" i="1"/>
  <c r="J66" i="1" l="1"/>
  <c r="K66" i="1" s="1"/>
  <c r="B155" i="1"/>
  <c r="B154" i="1"/>
  <c r="D144" i="1"/>
  <c r="D147" i="1"/>
  <c r="C144" i="1"/>
  <c r="C147" i="1"/>
  <c r="F144" i="1"/>
  <c r="F147" i="1"/>
  <c r="E144" i="1"/>
  <c r="E147" i="1"/>
  <c r="F87" i="1"/>
  <c r="C87" i="1"/>
  <c r="C88" i="1" s="1"/>
  <c r="D87" i="1"/>
  <c r="E87" i="1"/>
  <c r="L66" i="1" l="1"/>
  <c r="M66" i="1" s="1"/>
  <c r="D88" i="1"/>
  <c r="E88" i="1" s="1"/>
  <c r="F88" i="1" s="1"/>
  <c r="C145" i="1"/>
  <c r="D145" i="1" s="1"/>
  <c r="E145" i="1" s="1"/>
  <c r="F145" i="1" s="1"/>
  <c r="F146" i="1" s="1"/>
  <c r="F153" i="1" s="1"/>
  <c r="B54" i="1"/>
  <c r="B49" i="1"/>
  <c r="B61" i="1" l="1"/>
  <c r="F155" i="1"/>
  <c r="F154" i="1"/>
  <c r="E146" i="1"/>
  <c r="E153" i="1" s="1"/>
  <c r="D146" i="1"/>
  <c r="D153" i="1" s="1"/>
  <c r="C146" i="1"/>
  <c r="C153" i="1" s="1"/>
  <c r="B63" i="1"/>
  <c r="B62" i="1"/>
  <c r="B71" i="1" l="1"/>
  <c r="B73" i="1" s="1"/>
  <c r="D155" i="1"/>
  <c r="D154" i="1"/>
  <c r="C154" i="1"/>
  <c r="C49" i="1" s="1"/>
  <c r="C155" i="1"/>
  <c r="C54" i="1" s="1"/>
  <c r="E155" i="1"/>
  <c r="E154" i="1"/>
  <c r="G16" i="1"/>
  <c r="C61" i="1" l="1"/>
  <c r="C63" i="1"/>
  <c r="C62" i="1"/>
  <c r="G21" i="1"/>
  <c r="G20" i="1"/>
  <c r="G22" i="1"/>
  <c r="G41" i="1"/>
  <c r="C71" i="1" l="1"/>
  <c r="G43" i="1"/>
  <c r="G44" i="1" s="1"/>
  <c r="G42" i="1"/>
  <c r="G24" i="1"/>
  <c r="G26" i="1" s="1"/>
  <c r="D49" i="1"/>
  <c r="D54" i="1"/>
  <c r="E54" i="1"/>
  <c r="H16" i="1"/>
  <c r="C73" i="1" l="1"/>
  <c r="D63" i="1"/>
  <c r="D62" i="1"/>
  <c r="D61" i="1"/>
  <c r="H22" i="1"/>
  <c r="H21" i="1"/>
  <c r="H20" i="1"/>
  <c r="G87" i="1"/>
  <c r="G88" i="1" s="1"/>
  <c r="G144" i="1"/>
  <c r="G147" i="1"/>
  <c r="H41" i="1"/>
  <c r="F49" i="1"/>
  <c r="E49" i="1"/>
  <c r="F54" i="1"/>
  <c r="D71" i="1" l="1"/>
  <c r="F62" i="1"/>
  <c r="F61" i="1"/>
  <c r="F63" i="1"/>
  <c r="E62" i="1"/>
  <c r="E63" i="1"/>
  <c r="E61" i="1"/>
  <c r="I43" i="1"/>
  <c r="I44" i="1" s="1"/>
  <c r="I87" i="1" s="1"/>
  <c r="H43" i="1"/>
  <c r="H44" i="1" s="1"/>
  <c r="H87" i="1" s="1"/>
  <c r="H88" i="1" s="1"/>
  <c r="M43" i="1"/>
  <c r="M44" i="1" s="1"/>
  <c r="L43" i="1"/>
  <c r="L44" i="1" s="1"/>
  <c r="K43" i="1"/>
  <c r="K44" i="1" s="1"/>
  <c r="K87" i="1" s="1"/>
  <c r="J43" i="1"/>
  <c r="J44" i="1" s="1"/>
  <c r="J87" i="1" s="1"/>
  <c r="H24" i="1"/>
  <c r="H26" i="1" s="1"/>
  <c r="G145" i="1"/>
  <c r="G146" i="1" s="1"/>
  <c r="G153" i="1" s="1"/>
  <c r="J42" i="1"/>
  <c r="M42" i="1"/>
  <c r="L42" i="1"/>
  <c r="K42" i="1"/>
  <c r="H42" i="1"/>
  <c r="I42" i="1"/>
  <c r="E71" i="1" l="1"/>
  <c r="F71" i="1"/>
  <c r="F73" i="1" s="1"/>
  <c r="D73" i="1"/>
  <c r="I88" i="1"/>
  <c r="J88" i="1" s="1"/>
  <c r="K88" i="1" s="1"/>
  <c r="L87" i="1"/>
  <c r="M87" i="1"/>
  <c r="G155" i="1"/>
  <c r="G154" i="1"/>
  <c r="K147" i="1"/>
  <c r="J147" i="1"/>
  <c r="L147" i="1"/>
  <c r="M144" i="1"/>
  <c r="M147" i="1"/>
  <c r="H144" i="1"/>
  <c r="H147" i="1"/>
  <c r="I144" i="1"/>
  <c r="I147" i="1"/>
  <c r="K144" i="1"/>
  <c r="L144" i="1"/>
  <c r="J144" i="1"/>
  <c r="E73" i="1" l="1"/>
  <c r="L88" i="1"/>
  <c r="M88" i="1" s="1"/>
  <c r="H145" i="1"/>
  <c r="I145" i="1" s="1"/>
  <c r="I146" i="1" s="1"/>
  <c r="I153" i="1" s="1"/>
  <c r="G49" i="1"/>
  <c r="G54" i="1"/>
  <c r="G63" i="1" l="1"/>
  <c r="G61" i="1"/>
  <c r="G62" i="1"/>
  <c r="I155" i="1"/>
  <c r="I154" i="1"/>
  <c r="H146" i="1"/>
  <c r="H153" i="1" s="1"/>
  <c r="J145" i="1"/>
  <c r="K145" i="1" l="1"/>
  <c r="J146" i="1"/>
  <c r="J153" i="1" s="1"/>
  <c r="H155" i="1"/>
  <c r="I54" i="1" s="1"/>
  <c r="H154" i="1"/>
  <c r="H54" i="1"/>
  <c r="H49" i="1"/>
  <c r="H63" i="1" l="1"/>
  <c r="H61" i="1"/>
  <c r="H62" i="1"/>
  <c r="J155" i="1"/>
  <c r="J54" i="1" s="1"/>
  <c r="J154" i="1"/>
  <c r="J49" i="1" s="1"/>
  <c r="L145" i="1"/>
  <c r="K146" i="1"/>
  <c r="K153" i="1" s="1"/>
  <c r="I49" i="1"/>
  <c r="H71" i="1" l="1"/>
  <c r="H73" i="1" s="1"/>
  <c r="J63" i="1"/>
  <c r="J62" i="1"/>
  <c r="J61" i="1"/>
  <c r="J71" i="1" s="1"/>
  <c r="I61" i="1"/>
  <c r="I63" i="1"/>
  <c r="I62" i="1"/>
  <c r="K154" i="1"/>
  <c r="K49" i="1" s="1"/>
  <c r="K155" i="1"/>
  <c r="M145" i="1"/>
  <c r="M146" i="1" s="1"/>
  <c r="M153" i="1" s="1"/>
  <c r="L146" i="1"/>
  <c r="L153" i="1" s="1"/>
  <c r="I71" i="1" l="1"/>
  <c r="I73" i="1" s="1"/>
  <c r="J73" i="1"/>
  <c r="L155" i="1"/>
  <c r="L54" i="1" s="1"/>
  <c r="L154" i="1"/>
  <c r="L49" i="1" s="1"/>
  <c r="M155" i="1"/>
  <c r="M154" i="1"/>
  <c r="K54" i="1"/>
  <c r="K63" i="1" s="1"/>
  <c r="L61" i="1" l="1"/>
  <c r="L62" i="1"/>
  <c r="L63" i="1"/>
  <c r="K62" i="1"/>
  <c r="K61" i="1"/>
  <c r="K71" i="1" s="1"/>
  <c r="M49" i="1"/>
  <c r="M54" i="1"/>
  <c r="B56" i="1"/>
  <c r="B57" i="1" s="1"/>
  <c r="L71" i="1" l="1"/>
  <c r="L73" i="1" s="1"/>
  <c r="K73" i="1"/>
  <c r="M63" i="1"/>
  <c r="M61" i="1"/>
  <c r="M62" i="1"/>
  <c r="B59" i="1"/>
  <c r="C56" i="1"/>
  <c r="C57" i="1" s="1"/>
  <c r="B74" i="1" l="1"/>
  <c r="B75" i="1" s="1"/>
  <c r="C59" i="1"/>
  <c r="B139" i="1" l="1"/>
  <c r="B76" i="1"/>
  <c r="C74" i="1"/>
  <c r="C75" i="1" s="1"/>
  <c r="B77" i="1"/>
  <c r="C139" i="1" l="1"/>
  <c r="B78" i="1"/>
  <c r="B140" i="1" s="1"/>
  <c r="C76" i="1" l="1"/>
  <c r="C77" i="1"/>
  <c r="B141" i="1"/>
  <c r="B142" i="1" s="1"/>
  <c r="C78" i="1" l="1"/>
  <c r="B85" i="1"/>
  <c r="B86" i="1" s="1"/>
  <c r="D56" i="1"/>
  <c r="D57" i="1" s="1"/>
  <c r="C140" i="1" l="1"/>
  <c r="B89" i="1"/>
  <c r="B94" i="1" s="1"/>
  <c r="D59" i="1"/>
  <c r="C141" i="1" l="1"/>
  <c r="C142" i="1" s="1"/>
  <c r="C85" i="1" s="1"/>
  <c r="C86" i="1" s="1"/>
  <c r="D2" i="2"/>
  <c r="D3" i="2" s="1"/>
  <c r="D4" i="2" s="1"/>
  <c r="B95" i="1" s="1"/>
  <c r="B96" i="1" s="1"/>
  <c r="D74" i="1"/>
  <c r="D75" i="1" s="1"/>
  <c r="C89" i="1" l="1"/>
  <c r="C94" i="1" s="1"/>
  <c r="D139" i="1"/>
  <c r="D76" i="1" l="1"/>
  <c r="D77" i="1"/>
  <c r="E2" i="2"/>
  <c r="E3" i="2" s="1"/>
  <c r="E4" i="2" s="1"/>
  <c r="C95" i="1" s="1"/>
  <c r="C96" i="1" s="1"/>
  <c r="D78" i="1" l="1"/>
  <c r="E56" i="1"/>
  <c r="E57" i="1" s="1"/>
  <c r="D141" i="1" l="1"/>
  <c r="D140" i="1"/>
  <c r="E59" i="1"/>
  <c r="D142" i="1" l="1"/>
  <c r="D85" i="1" s="1"/>
  <c r="D86" i="1" s="1"/>
  <c r="D89" i="1" s="1"/>
  <c r="D94" i="1" s="1"/>
  <c r="E74" i="1"/>
  <c r="E75" i="1" s="1"/>
  <c r="E139" i="1" l="1"/>
  <c r="E76" i="1" s="1"/>
  <c r="F2" i="2"/>
  <c r="F3" i="2" s="1"/>
  <c r="F4" i="2" s="1"/>
  <c r="D95" i="1" s="1"/>
  <c r="D96" i="1" s="1"/>
  <c r="E77" i="1" l="1"/>
  <c r="E78" i="1" s="1"/>
  <c r="F56" i="1"/>
  <c r="F57" i="1" s="1"/>
  <c r="G58" i="1" s="1"/>
  <c r="G72" i="1" s="1"/>
  <c r="G73" i="1" s="1"/>
  <c r="E141" i="1" l="1"/>
  <c r="E140" i="1"/>
  <c r="E142" i="1" l="1"/>
  <c r="E85" i="1" s="1"/>
  <c r="E86" i="1" s="1"/>
  <c r="E89" i="1" s="1"/>
  <c r="E94" i="1" s="1"/>
  <c r="F59" i="1"/>
  <c r="F74" i="1" l="1"/>
  <c r="F75" i="1" s="1"/>
  <c r="F139" i="1" l="1"/>
  <c r="F76" i="1" s="1"/>
  <c r="G56" i="1"/>
  <c r="F77" i="1" l="1"/>
  <c r="F78" i="1" s="1"/>
  <c r="F141" i="1" s="1"/>
  <c r="G59" i="1"/>
  <c r="F140" i="1" l="1"/>
  <c r="F142" i="1" s="1"/>
  <c r="F85" i="1" s="1"/>
  <c r="F86" i="1" s="1"/>
  <c r="F89" i="1" s="1"/>
  <c r="F94" i="1" s="1"/>
  <c r="G74" i="1"/>
  <c r="G75" i="1" s="1"/>
  <c r="G139" i="1" l="1"/>
  <c r="G77" i="1" s="1"/>
  <c r="H56" i="1"/>
  <c r="H57" i="1" s="1"/>
  <c r="G76" i="1" l="1"/>
  <c r="G78" i="1" s="1"/>
  <c r="G141" i="1" s="1"/>
  <c r="H59" i="1"/>
  <c r="H74" i="1" l="1"/>
  <c r="H75" i="1" s="1"/>
  <c r="H139" i="1" l="1"/>
  <c r="I56" i="1"/>
  <c r="I57" i="1" s="1"/>
  <c r="H77" i="1" l="1"/>
  <c r="H76" i="1"/>
  <c r="I59" i="1"/>
  <c r="H78" i="1" l="1"/>
  <c r="I74" i="1"/>
  <c r="I75" i="1" s="1"/>
  <c r="I139" i="1" l="1"/>
  <c r="I76" i="1" s="1"/>
  <c r="J56" i="1"/>
  <c r="J57" i="1" s="1"/>
  <c r="I77" i="1" l="1"/>
  <c r="I78" i="1" s="1"/>
  <c r="J59" i="1"/>
  <c r="J74" i="1" l="1"/>
  <c r="J75" i="1" s="1"/>
  <c r="J139" i="1" l="1"/>
  <c r="J76" i="1" s="1"/>
  <c r="K56" i="1"/>
  <c r="K57" i="1" s="1"/>
  <c r="J77" i="1" l="1"/>
  <c r="J78" i="1" s="1"/>
  <c r="K59" i="1"/>
  <c r="K74" i="1" l="1"/>
  <c r="K75" i="1" s="1"/>
  <c r="K139" i="1" l="1"/>
  <c r="K76" i="1" s="1"/>
  <c r="L56" i="1"/>
  <c r="L57" i="1" s="1"/>
  <c r="K77" i="1" l="1"/>
  <c r="K78" i="1" s="1"/>
  <c r="M58" i="1"/>
  <c r="M72" i="1" s="1"/>
  <c r="M73" i="1" s="1"/>
  <c r="L59" i="1"/>
  <c r="L74" i="1" l="1"/>
  <c r="L75" i="1" s="1"/>
  <c r="L139" i="1" l="1"/>
  <c r="L76" i="1" s="1"/>
  <c r="M56" i="1"/>
  <c r="M59" i="1" s="1"/>
  <c r="L77" i="1" l="1"/>
  <c r="L78" i="1" s="1"/>
  <c r="M74" i="1"/>
  <c r="M75" i="1" s="1"/>
  <c r="M139" i="1" l="1"/>
  <c r="M77" i="1" s="1"/>
  <c r="M76" i="1" l="1"/>
  <c r="M78" i="1" s="1"/>
  <c r="G2" i="2"/>
  <c r="G3" i="2" s="1"/>
  <c r="G4" i="2" s="1"/>
  <c r="E95" i="1" s="1"/>
  <c r="E96" i="1" s="1"/>
  <c r="G140" i="1"/>
  <c r="G142" i="1" s="1"/>
  <c r="H2" i="2" l="1"/>
  <c r="H3" i="2" s="1"/>
  <c r="H4" i="2" s="1"/>
  <c r="F95" i="1" s="1"/>
  <c r="F96" i="1" s="1"/>
  <c r="G85" i="1" l="1"/>
  <c r="G86" i="1" s="1"/>
  <c r="G89" i="1" l="1"/>
  <c r="G94" i="1" s="1"/>
  <c r="I2" i="2" s="1"/>
  <c r="I3" i="2" s="1"/>
  <c r="I4" i="2" s="1"/>
  <c r="G95" i="1" s="1"/>
  <c r="G96" i="1" s="1"/>
  <c r="H141" i="1"/>
  <c r="H140" i="1"/>
  <c r="H142" i="1" l="1"/>
  <c r="H85" i="1" s="1"/>
  <c r="H86" i="1" s="1"/>
  <c r="H89" i="1" l="1"/>
  <c r="H94" i="1" s="1"/>
  <c r="J2" i="2" s="1"/>
  <c r="J3" i="2" s="1"/>
  <c r="J4" i="2" s="1"/>
  <c r="H95" i="1" s="1"/>
  <c r="H96" i="1" s="1"/>
  <c r="I141" i="1"/>
  <c r="I140" i="1"/>
  <c r="I142" i="1" l="1"/>
  <c r="I85" i="1"/>
  <c r="I86" i="1" s="1"/>
  <c r="I89" i="1" l="1"/>
  <c r="I94" i="1" s="1"/>
  <c r="K2" i="2" s="1"/>
  <c r="K3" i="2" s="1"/>
  <c r="K4" i="2" s="1"/>
  <c r="I95" i="1" s="1"/>
  <c r="I96" i="1" s="1"/>
  <c r="J141" i="1"/>
  <c r="J140" i="1"/>
  <c r="J142" i="1" l="1"/>
  <c r="J85" i="1" s="1"/>
  <c r="J86" i="1" s="1"/>
  <c r="J89" i="1" l="1"/>
  <c r="J94" i="1" s="1"/>
  <c r="L2" i="2" s="1"/>
  <c r="L3" i="2" s="1"/>
  <c r="L4" i="2" s="1"/>
  <c r="J95" i="1" s="1"/>
  <c r="J96" i="1" s="1"/>
  <c r="K141" i="1"/>
  <c r="K140" i="1"/>
  <c r="K142" i="1" l="1"/>
  <c r="K85" i="1" s="1"/>
  <c r="K86" i="1" s="1"/>
  <c r="L141" i="1" l="1"/>
  <c r="L140" i="1"/>
  <c r="K89" i="1"/>
  <c r="L142" i="1" l="1"/>
  <c r="L85" i="1" s="1"/>
  <c r="L86" i="1" s="1"/>
  <c r="M141" i="1" s="1"/>
  <c r="K94" i="1"/>
  <c r="M2" i="2" s="1"/>
  <c r="M3" i="2" s="1"/>
  <c r="M4" i="2" s="1"/>
  <c r="K95" i="1" s="1"/>
  <c r="K96" i="1" s="1"/>
  <c r="L89" i="1" l="1"/>
  <c r="L94" i="1" s="1"/>
  <c r="N2" i="2" s="1"/>
  <c r="N3" i="2" s="1"/>
  <c r="N4" i="2" s="1"/>
  <c r="L95" i="1" s="1"/>
  <c r="L96" i="1" s="1"/>
  <c r="M140" i="1"/>
  <c r="M142" i="1" s="1"/>
  <c r="M85" i="1" s="1"/>
  <c r="M86" i="1" s="1"/>
  <c r="M89" i="1" s="1"/>
  <c r="M94" i="1" s="1"/>
  <c r="O2" i="2" s="1"/>
  <c r="O3" i="2" s="1"/>
  <c r="O4" i="2" s="1"/>
  <c r="M95" i="1" s="1"/>
  <c r="M96" i="1" s="1"/>
</calcChain>
</file>

<file path=xl/sharedStrings.xml><?xml version="1.0" encoding="utf-8"?>
<sst xmlns="http://schemas.openxmlformats.org/spreadsheetml/2006/main" count="258" uniqueCount="165">
  <si>
    <t>LIQUIDACIÓN  SUELDO MENSUAL</t>
  </si>
  <si>
    <t>Conceptos Liquidados por el agente de retención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</si>
  <si>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</si>
  <si>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</si>
  <si>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</si>
  <si>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</si>
  <si>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</si>
  <si>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</si>
  <si>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</si>
  <si>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</si>
  <si>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</si>
  <si>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</si>
  <si>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</si>
  <si>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</si>
  <si>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bruto</t>
  </si>
  <si>
    <t>Antigüedad</t>
  </si>
  <si>
    <t>Horas Extras Gravadas</t>
  </si>
  <si>
    <t xml:space="preserve">Horas Extras (diferencia exenta HS Extra - HS Comunes) </t>
  </si>
  <si>
    <t>Comisiones</t>
  </si>
  <si>
    <t>Plus Vacacional</t>
  </si>
  <si>
    <t>SAC</t>
  </si>
  <si>
    <t>Total conceptos remunerativos</t>
  </si>
  <si>
    <t xml:space="preserve">Conceptos no remunerativos habituales </t>
  </si>
  <si>
    <t xml:space="preserve">Conceptos no remunerativos no habituales </t>
  </si>
  <si>
    <t>Total conceptos no remunerativos</t>
  </si>
  <si>
    <t>Jubilación 11%</t>
  </si>
  <si>
    <t>Obra Social 3%</t>
  </si>
  <si>
    <t>Ley 19.032 3%</t>
  </si>
  <si>
    <t>Sindicato</t>
  </si>
  <si>
    <t>Total descuentos</t>
  </si>
  <si>
    <t>Remuneración Neta Mensual</t>
  </si>
  <si>
    <t>LIQUIDACION IMPUESTO A LAS GANANCIAS</t>
  </si>
  <si>
    <t>Pluriempleo (otros empleos)</t>
  </si>
  <si>
    <t xml:space="preserve">Retribuciones habituales no remunerativas </t>
  </si>
  <si>
    <t xml:space="preserve">Otras retribuciones no habituales remunerativas </t>
  </si>
  <si>
    <t xml:space="preserve">Retribuciones no habituales no remunerativas </t>
  </si>
  <si>
    <t>Conceptos Exentos</t>
  </si>
  <si>
    <t>Deducciones</t>
  </si>
  <si>
    <t xml:space="preserve">Remuneración Bruta Mensual </t>
  </si>
  <si>
    <t>Ganancia Bruta</t>
  </si>
  <si>
    <t>Agente de Retención</t>
  </si>
  <si>
    <t xml:space="preserve">Retribuciones habituales remunerativas </t>
  </si>
  <si>
    <t xml:space="preserve">Retribuciones no habituales remunerativas </t>
  </si>
  <si>
    <t>Pluriempleo</t>
  </si>
  <si>
    <t>Subtotal Ganancia Bruta</t>
  </si>
  <si>
    <t>SAC Proporcional Bruto</t>
  </si>
  <si>
    <t>Ajuste SAC Semestral Bruto Real</t>
  </si>
  <si>
    <t>Total Ganancia Bruta</t>
  </si>
  <si>
    <t>Deducciones Generales</t>
  </si>
  <si>
    <t xml:space="preserve">Intereses de préstamos hipotecarios </t>
  </si>
  <si>
    <t>Alquiler de la casa habitación  (40% hasta el Tope MNI)</t>
  </si>
  <si>
    <t>Personal de casas particulares (Tope MNI)</t>
  </si>
  <si>
    <t>Viáticos corta y media distancia (Tope 40% MNI)</t>
  </si>
  <si>
    <t>Viáticos larga distancia (Tope MNI)</t>
  </si>
  <si>
    <t>Equipamiento e Indumentaria</t>
  </si>
  <si>
    <t>Subtotal deducciones generales</t>
  </si>
  <si>
    <t>Medicina Prepaga (Tope 5% GNSI)</t>
  </si>
  <si>
    <t>Donaciones  (Tope 5% GNSI)</t>
  </si>
  <si>
    <t>Total medicina prepaga y donaciones</t>
  </si>
  <si>
    <t>Deducciones Personales</t>
  </si>
  <si>
    <t>Mínimo no Imponible</t>
  </si>
  <si>
    <t>Cónyuge</t>
  </si>
  <si>
    <t>Hijos</t>
  </si>
  <si>
    <t>Hijos Incapacitados para el trabajo</t>
  </si>
  <si>
    <t xml:space="preserve">Deducción Especial Incrementada </t>
  </si>
  <si>
    <t>Deducción Especial Adicional (DEA) 1° Parte Mensual</t>
  </si>
  <si>
    <t>Deducción Especial Adicional (DEA) 1° Parte Acumulada</t>
  </si>
  <si>
    <t>Deducción Especial Adicional (DEA) 2° Parte Mensual</t>
  </si>
  <si>
    <t>Deducción Especial Adicional (DEA) 2° Parte Acumulada</t>
  </si>
  <si>
    <t>Total deducciones personales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</si>
  <si>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</si>
  <si>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</si>
  <si>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</si>
  <si>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</si>
  <si>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</si>
  <si>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</si>
  <si>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</si>
  <si>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</si>
  <si>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</si>
  <si>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</si>
  <si>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</si>
  <si>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</si>
  <si>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</si>
  <si>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Ganancia Neta Sujeta a Impuesto</t>
  </si>
  <si>
    <t>Retención Acumulada</t>
  </si>
  <si>
    <t xml:space="preserve">Retención Mensual </t>
  </si>
  <si>
    <t>Datos declarados por el trabajador (F572 WEB)</t>
  </si>
  <si>
    <t>Cargas de familia</t>
  </si>
  <si>
    <t>Intereses de préstamos hipotecarios (Valor declarado)</t>
  </si>
  <si>
    <t>Alquiler de la casa habitación</t>
  </si>
  <si>
    <t>Alquiler de la casa habitación 40%</t>
  </si>
  <si>
    <t>Personal de casas particulares  (Valor declarado)</t>
  </si>
  <si>
    <t xml:space="preserve">Viáticos corta y media Distancia  </t>
  </si>
  <si>
    <t>Viáticos corta y media Distancia 40% MNI</t>
  </si>
  <si>
    <t xml:space="preserve">Viáticos larga distancia  </t>
  </si>
  <si>
    <t>Medicina Prepaga</t>
  </si>
  <si>
    <t>Donaciones</t>
  </si>
  <si>
    <t>Gastos Médicos</t>
  </si>
  <si>
    <t>Seguros</t>
  </si>
  <si>
    <t xml:space="preserve">Ganancia Neta antes de prepaga y donaciones  5% </t>
  </si>
  <si>
    <t>Base imponible</t>
  </si>
  <si>
    <t>Tramo sin horas extras</t>
  </si>
  <si>
    <t>Impuesto Determinado</t>
  </si>
  <si>
    <t>Tramos de escala (art. 94)</t>
  </si>
  <si>
    <t>Importes acumulados</t>
  </si>
  <si>
    <t>Mes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</si>
  <si>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</si>
  <si>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</si>
  <si>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</si>
  <si>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</si>
  <si>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</si>
  <si>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</si>
  <si>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</si>
  <si>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</si>
  <si>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Setiembre</t>
  </si>
  <si>
    <t>Sueldo bruto 
mensual o
promedio</t>
  </si>
  <si>
    <t>Deducción</t>
  </si>
  <si>
    <t xml:space="preserve">Otros conceptos no habituales remunerativos  </t>
  </si>
  <si>
    <t>1- Bono Productividad alcanzado por la exención parcial</t>
  </si>
  <si>
    <t>Parte EXENTA</t>
  </si>
  <si>
    <t>Parte GRAVADA</t>
  </si>
  <si>
    <t>2- Bono Productividad gravado en su totalidad</t>
  </si>
  <si>
    <t>Total Bono Productividad GRAVADO</t>
  </si>
  <si>
    <t xml:space="preserve">Total Bono Productividad Agente Retención </t>
  </si>
  <si>
    <t>Total Bono Productividad Pluriempleo</t>
  </si>
  <si>
    <t xml:space="preserve">Total Bono Productividad </t>
  </si>
  <si>
    <t>Proporcionalidad Bono Productividad Agente Retención</t>
  </si>
  <si>
    <t>Proporcionalidad Bono Productividad  Pluriempleo</t>
  </si>
  <si>
    <t>Bono Productividad Gravado Agente de retención</t>
  </si>
  <si>
    <t>Bono Productividad Gravado Pluriempleo</t>
  </si>
  <si>
    <t>Supuesto empleado: siempre el bono de productividad es remunerativo</t>
  </si>
  <si>
    <t>Bono Productividad</t>
  </si>
  <si>
    <t>Ganancia Neta Sujeta a Impuesto (antes DEA del mes)</t>
  </si>
  <si>
    <r>
      <t xml:space="preserve">Retribuciones habituales remunerativas </t>
    </r>
    <r>
      <rPr>
        <sz val="11"/>
        <color theme="1"/>
        <rFont val="Calibri"/>
        <family val="2"/>
        <scheme val="minor"/>
      </rPr>
      <t>sin horas extras</t>
    </r>
  </si>
  <si>
    <t>Deducciones por recibo de haberes:</t>
  </si>
  <si>
    <t xml:space="preserve">Jubilación </t>
  </si>
  <si>
    <t xml:space="preserve">Obra Social </t>
  </si>
  <si>
    <t>Ley 19.032</t>
  </si>
  <si>
    <t>En % (completar)</t>
  </si>
  <si>
    <t>Supuesto: mes devengado = mes cobrado</t>
  </si>
  <si>
    <t>Período Fiscal 2022</t>
  </si>
  <si>
    <t>Ganancia Neta Mensual (antes de m. prepaga y donac.)</t>
  </si>
  <si>
    <t>Ganancia Neta Acumulada (antes de m. prepaga y donac.)</t>
  </si>
  <si>
    <t>Ganancia del mes a considerar</t>
  </si>
  <si>
    <t>Tomar el menor entre 124 Y 125</t>
  </si>
  <si>
    <t>Pauta para aplicación exención SAC (promedio RBM)</t>
  </si>
  <si>
    <t>aplicable hasta devengado mayo/22</t>
  </si>
  <si>
    <t>aplicable desde devengado junio/22</t>
  </si>
  <si>
    <t>Promedio de Remuneracion Bruta Mensual p/DEA</t>
  </si>
  <si>
    <r>
      <t xml:space="preserve">Pauta para aplicación de la DEA </t>
    </r>
    <r>
      <rPr>
        <sz val="11"/>
        <color theme="0"/>
        <rFont val="Calibri"/>
        <family val="2"/>
        <scheme val="minor"/>
      </rPr>
      <t>Res. Gral. AFIP 5206</t>
    </r>
  </si>
  <si>
    <t xml:space="preserve">Deducciones sobre SAC Proporcional </t>
  </si>
  <si>
    <t>Ajuste Deducciones SAC semestral real</t>
  </si>
  <si>
    <t>Meses en el año en que es carga de familia</t>
  </si>
  <si>
    <t>Hijo 1</t>
  </si>
  <si>
    <t>Hijo 2</t>
  </si>
  <si>
    <t>Hijo 3</t>
  </si>
  <si>
    <t>Hijo 4</t>
  </si>
  <si>
    <t>Hijo 5</t>
  </si>
  <si>
    <t>Hijo 6</t>
  </si>
  <si>
    <t>Hijo incapacitado 1</t>
  </si>
  <si>
    <t>Hijo incapacitado 2</t>
  </si>
  <si>
    <t>Hijo incapacitado 3</t>
  </si>
  <si>
    <t>Cónyuge o conviviente</t>
  </si>
  <si>
    <t>% que computa el/la trabajador/a</t>
  </si>
  <si>
    <t>Incluye modificaciones Decreto 298/2022 y RG AFIP 5206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</si>
</sst>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E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" fontId="1" fillId="2" borderId="1" xfId="0" applyNumberFormat="1" applyFont="1" applyFill="1" applyBorder="1" applyAlignment="1" applyProtection="1">
      <alignment horizontal="center"/>
    </xf>
    <xf numFmtId="0" fontId="2" fillId="0" borderId="0" xfId="0" applyFont="1" applyProtection="1"/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Protection="1"/>
    <xf numFmtId="4" fontId="2" fillId="0" borderId="0" xfId="0" applyNumberFormat="1" applyFont="1" applyAlignment="1" applyProtection="1">
      <alignment horizontal="center"/>
    </xf>
    <xf numFmtId="0" fontId="5" fillId="6" borderId="1" xfId="0" applyFont="1" applyFill="1" applyBorder="1" applyAlignment="1" applyProtection="1">
      <alignment horizontal="left"/>
    </xf>
    <xf numFmtId="0" fontId="2" fillId="6" borderId="1" xfId="0" applyFont="1" applyFill="1" applyBorder="1" applyProtection="1"/>
    <xf numFmtId="0" fontId="0" fillId="0" borderId="1" xfId="0" applyFont="1" applyFill="1" applyBorder="1" applyProtection="1"/>
    <xf numFmtId="4" fontId="2" fillId="0" borderId="0" xfId="0" applyNumberFormat="1" applyFont="1" applyProtection="1"/>
    <xf numFmtId="4" fontId="2" fillId="0" borderId="0" xfId="0" applyNumberFormat="1" applyFont="1" applyFill="1" applyBorder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Protection="1"/>
    <xf numFmtId="0" fontId="11" fillId="0" borderId="0" xfId="0" applyFont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5" fillId="3" borderId="1" xfId="0" applyFont="1" applyFill="1" applyBorder="1" applyProtection="1"/>
    <xf numFmtId="0" fontId="1" fillId="2" borderId="22" xfId="0" applyFont="1" applyFill="1" applyBorder="1" applyProtection="1"/>
    <xf numFmtId="0" fontId="1" fillId="2" borderId="23" xfId="0" applyFont="1" applyFill="1" applyBorder="1" applyProtection="1"/>
    <xf numFmtId="0" fontId="1" fillId="2" borderId="26" xfId="0" applyFont="1" applyFill="1" applyBorder="1" applyProtection="1"/>
    <xf numFmtId="0" fontId="5" fillId="0" borderId="0" xfId="0" applyFont="1" applyFill="1" applyProtection="1"/>
    <xf numFmtId="0" fontId="4" fillId="0" borderId="1" xfId="0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12" fillId="0" borderId="1" xfId="0" applyFont="1" applyBorder="1" applyProtection="1"/>
    <xf numFmtId="0" fontId="0" fillId="0" borderId="1" xfId="0" applyFont="1" applyBorder="1" applyProtection="1"/>
    <xf numFmtId="0" fontId="1" fillId="7" borderId="1" xfId="0" applyFont="1" applyFill="1" applyBorder="1" applyProtection="1"/>
    <xf numFmtId="0" fontId="1" fillId="5" borderId="1" xfId="0" applyFont="1" applyFill="1" applyBorder="1" applyProtection="1"/>
    <xf numFmtId="0" fontId="1" fillId="2" borderId="1" xfId="0" applyFont="1" applyFill="1" applyBorder="1" applyProtection="1"/>
    <xf numFmtId="0" fontId="1" fillId="8" borderId="1" xfId="0" applyFont="1" applyFill="1" applyBorder="1" applyProtection="1"/>
    <xf numFmtId="0" fontId="0" fillId="0" borderId="1" xfId="0" applyBorder="1" applyAlignment="1" applyProtection="1">
      <alignment horizontal="left"/>
    </xf>
    <xf numFmtId="4" fontId="1" fillId="7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0" fillId="0" borderId="27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Protection="1"/>
    <xf numFmtId="0" fontId="4" fillId="0" borderId="0" xfId="0" applyFont="1" applyBorder="1" applyProtection="1"/>
    <xf numFmtId="4" fontId="5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Protection="1"/>
    <xf numFmtId="4" fontId="4" fillId="0" borderId="0" xfId="0" applyNumberFormat="1" applyFont="1" applyFill="1" applyBorder="1" applyProtection="1"/>
    <xf numFmtId="0" fontId="0" fillId="10" borderId="27" xfId="0" applyFont="1" applyFill="1" applyBorder="1" applyProtection="1"/>
    <xf numFmtId="4" fontId="0" fillId="10" borderId="1" xfId="0" applyNumberFormat="1" applyFill="1" applyBorder="1" applyProtection="1"/>
    <xf numFmtId="0" fontId="0" fillId="11" borderId="1" xfId="0" applyFont="1" applyFill="1" applyBorder="1" applyProtection="1"/>
    <xf numFmtId="4" fontId="0" fillId="11" borderId="1" xfId="0" applyNumberFormat="1" applyFill="1" applyBorder="1" applyProtection="1"/>
    <xf numFmtId="0" fontId="1" fillId="2" borderId="1" xfId="0" applyFont="1" applyFill="1" applyBorder="1" applyAlignment="1" applyProtection="1">
      <alignment horizontal="left"/>
    </xf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Protection="1"/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4" fontId="5" fillId="3" borderId="1" xfId="0" applyNumberFormat="1" applyFont="1" applyFill="1" applyBorder="1" applyProtection="1"/>
    <xf numFmtId="0" fontId="5" fillId="9" borderId="1" xfId="0" applyFont="1" applyFill="1" applyBorder="1" applyProtection="1"/>
    <xf numFmtId="0" fontId="4" fillId="0" borderId="27" xfId="0" applyFont="1" applyFill="1" applyBorder="1" applyProtection="1"/>
    <xf numFmtId="0" fontId="4" fillId="0" borderId="1" xfId="0" applyFont="1" applyFill="1" applyBorder="1" applyProtection="1"/>
    <xf numFmtId="0" fontId="0" fillId="0" borderId="1" xfId="0" applyFill="1" applyBorder="1" applyProtection="1"/>
    <xf numFmtId="0" fontId="5" fillId="12" borderId="1" xfId="0" applyFont="1" applyFill="1" applyBorder="1" applyAlignment="1" applyProtection="1">
      <alignment horizontal="left"/>
    </xf>
    <xf numFmtId="0" fontId="2" fillId="12" borderId="1" xfId="0" applyFont="1" applyFill="1" applyBorder="1" applyProtection="1"/>
    <xf numFmtId="0" fontId="5" fillId="12" borderId="1" xfId="0" applyFont="1" applyFill="1" applyBorder="1" applyProtection="1"/>
    <xf numFmtId="0" fontId="0" fillId="0" borderId="1" xfId="0" applyBorder="1"/>
    <xf numFmtId="0" fontId="5" fillId="13" borderId="1" xfId="0" applyFont="1" applyFill="1" applyBorder="1" applyProtection="1"/>
    <xf numFmtId="4" fontId="5" fillId="13" borderId="1" xfId="0" applyNumberFormat="1" applyFont="1" applyFill="1" applyBorder="1" applyProtection="1"/>
    <xf numFmtId="0" fontId="0" fillId="11" borderId="1" xfId="0" applyFill="1" applyBorder="1"/>
    <xf numFmtId="4" fontId="0" fillId="11" borderId="1" xfId="0" applyNumberFormat="1" applyFill="1" applyBorder="1"/>
    <xf numFmtId="0" fontId="2" fillId="12" borderId="1" xfId="0" applyFont="1" applyFill="1" applyBorder="1"/>
    <xf numFmtId="0" fontId="1" fillId="5" borderId="1" xfId="0" applyFont="1" applyFill="1" applyBorder="1" applyAlignment="1" applyProtection="1">
      <alignment horizontal="left"/>
    </xf>
    <xf numFmtId="0" fontId="5" fillId="13" borderId="1" xfId="0" applyFont="1" applyFill="1" applyBorder="1"/>
    <xf numFmtId="0" fontId="0" fillId="0" borderId="1" xfId="0" applyFill="1" applyBorder="1"/>
    <xf numFmtId="0" fontId="2" fillId="0" borderId="0" xfId="0" applyFont="1" applyFill="1" applyAlignment="1" applyProtection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3" fontId="0" fillId="0" borderId="27" xfId="0" applyNumberFormat="1" applyBorder="1"/>
    <xf numFmtId="0" fontId="10" fillId="3" borderId="28" xfId="0" applyFont="1" applyFill="1" applyBorder="1" applyAlignment="1">
      <alignment horizontal="center" vertical="center" wrapText="1"/>
    </xf>
    <xf numFmtId="3" fontId="0" fillId="0" borderId="28" xfId="0" applyNumberFormat="1" applyBorder="1"/>
    <xf numFmtId="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4" fontId="2" fillId="0" borderId="0" xfId="0" applyNumberFormat="1" applyFont="1" applyFill="1"/>
    <xf numFmtId="0" fontId="4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5" fillId="15" borderId="1" xfId="0" applyFont="1" applyFill="1" applyBorder="1" applyProtection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0" fillId="0" borderId="1" xfId="0" applyFont="1" applyFill="1" applyBorder="1"/>
    <xf numFmtId="4" fontId="0" fillId="0" borderId="0" xfId="0" applyNumberFormat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0" fillId="0" borderId="1" xfId="0" applyNumberForma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14" borderId="1" xfId="0" applyNumberFormat="1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Alignment="1" applyProtection="1">
      <alignment horizontal="right"/>
      <protection hidden="1"/>
    </xf>
    <xf numFmtId="4" fontId="2" fillId="6" borderId="1" xfId="0" applyNumberFormat="1" applyFont="1" applyFill="1" applyBorder="1" applyProtection="1">
      <protection hidden="1"/>
    </xf>
    <xf numFmtId="4" fontId="0" fillId="0" borderId="1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4" fontId="2" fillId="4" borderId="0" xfId="0" applyNumberFormat="1" applyFont="1" applyFill="1" applyBorder="1" applyProtection="1">
      <protection hidden="1"/>
    </xf>
    <xf numFmtId="4" fontId="1" fillId="8" borderId="1" xfId="0" applyNumberFormat="1" applyFont="1" applyFill="1" applyBorder="1" applyProtection="1">
      <protection hidden="1"/>
    </xf>
    <xf numFmtId="4" fontId="5" fillId="0" borderId="0" xfId="0" applyNumberFormat="1" applyFont="1" applyFill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 applyProtection="1">
      <protection hidden="1"/>
    </xf>
    <xf numFmtId="4" fontId="5" fillId="3" borderId="1" xfId="0" applyNumberFormat="1" applyFont="1" applyFill="1" applyBorder="1" applyProtection="1">
      <protection hidden="1"/>
    </xf>
    <xf numFmtId="4" fontId="1" fillId="7" borderId="1" xfId="0" applyNumberFormat="1" applyFon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0" fillId="0" borderId="1" xfId="0" applyNumberFormat="1" applyFont="1" applyFill="1" applyBorder="1" applyProtection="1">
      <protection hidden="1"/>
    </xf>
    <xf numFmtId="4" fontId="4" fillId="12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Protection="1">
      <protection hidden="1"/>
    </xf>
    <xf numFmtId="4" fontId="14" fillId="14" borderId="1" xfId="0" applyNumberFormat="1" applyFont="1" applyFill="1" applyBorder="1" applyProtection="1">
      <protection hidden="1"/>
    </xf>
    <xf numFmtId="4" fontId="0" fillId="0" borderId="1" xfId="0" applyNumberFormat="1" applyFont="1" applyBorder="1" applyProtection="1">
      <protection hidden="1"/>
    </xf>
    <xf numFmtId="4" fontId="1" fillId="5" borderId="1" xfId="0" applyNumberFormat="1" applyFont="1" applyFill="1" applyBorder="1" applyProtection="1">
      <protection hidden="1"/>
    </xf>
    <xf numFmtId="4" fontId="2" fillId="12" borderId="1" xfId="0" applyNumberFormat="1" applyFont="1" applyFill="1" applyBorder="1" applyProtection="1">
      <protection hidden="1"/>
    </xf>
    <xf numFmtId="4" fontId="5" fillId="13" borderId="1" xfId="0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4" fontId="1" fillId="2" borderId="24" xfId="0" applyNumberFormat="1" applyFont="1" applyFill="1" applyBorder="1" applyProtection="1">
      <protection hidden="1"/>
    </xf>
    <xf numFmtId="4" fontId="1" fillId="2" borderId="25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1" fillId="2" borderId="1" xfId="0" applyNumberFormat="1" applyFont="1" applyFill="1" applyBorder="1" applyProtection="1">
      <protection hidden="1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14" fillId="0" borderId="1" xfId="0" applyNumberFormat="1" applyFont="1" applyBorder="1" applyProtection="1">
      <protection locked="0"/>
    </xf>
    <xf numFmtId="4" fontId="4" fillId="14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Fill="1" applyBorder="1" applyProtection="1">
      <protection locked="0"/>
    </xf>
    <xf numFmtId="4" fontId="0" fillId="0" borderId="2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15" fillId="0" borderId="0" xfId="0" applyFont="1" applyFill="1" applyBorder="1" applyProtection="1"/>
    <xf numFmtId="0" fontId="14" fillId="0" borderId="0" xfId="0" applyFont="1" applyProtection="1"/>
    <xf numFmtId="0" fontId="0" fillId="14" borderId="1" xfId="0" applyFont="1" applyFill="1" applyBorder="1" applyProtection="1">
      <protection locked="0"/>
    </xf>
    <xf numFmtId="4" fontId="0" fillId="0" borderId="1" xfId="0" applyNumberFormat="1" applyFill="1" applyBorder="1" applyAlignment="1" applyProtection="1">
      <alignment wrapText="1"/>
      <protection hidden="1"/>
    </xf>
    <xf numFmtId="4" fontId="0" fillId="0" borderId="1" xfId="0" applyNumberFormat="1" applyFill="1" applyBorder="1"/>
    <xf numFmtId="0" fontId="5" fillId="0" borderId="1" xfId="0" applyFont="1" applyFill="1" applyBorder="1" applyProtection="1"/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Protection="1">
      <protection hidden="1"/>
    </xf>
    <xf numFmtId="0" fontId="15" fillId="0" borderId="1" xfId="0" applyFont="1" applyFill="1" applyBorder="1" applyProtection="1"/>
    <xf numFmtId="4" fontId="15" fillId="0" borderId="0" xfId="0" applyNumberFormat="1" applyFont="1" applyFill="1" applyBorder="1" applyProtection="1"/>
    <xf numFmtId="4" fontId="5" fillId="0" borderId="1" xfId="0" applyNumberFormat="1" applyFont="1" applyFill="1" applyBorder="1" applyProtection="1"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4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9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Fill="1"/>
    <xf numFmtId="0" fontId="14" fillId="0" borderId="0" xfId="0" applyFont="1"/>
    <xf numFmtId="0" fontId="14" fillId="0" borderId="0" xfId="0" applyFont="1" applyFill="1"/>
    <xf numFmtId="0" fontId="11" fillId="0" borderId="0" xfId="0" applyFont="1" applyFill="1" applyAlignment="1" applyProtection="1">
      <alignment horizontal="right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43" fontId="0" fillId="0" borderId="28" xfId="1" applyFont="1" applyBorder="1"/>
    <xf numFmtId="4" fontId="0" fillId="0" borderId="0" xfId="0" applyNumberFormat="1" applyFill="1" applyBorder="1" applyProtection="1"/>
    <xf numFmtId="0" fontId="0" fillId="0" borderId="0" xfId="0" applyFill="1" applyAlignment="1" applyProtection="1">
      <alignment horizontal="center"/>
    </xf>
    <xf numFmtId="9" fontId="4" fillId="0" borderId="0" xfId="0" applyNumberFormat="1" applyFont="1" applyAlignment="1" applyProtection="1">
      <protection locked="0"/>
    </xf>
    <xf numFmtId="9" fontId="0" fillId="0" borderId="0" xfId="0" applyNumberFormat="1" applyAlignment="1" applyProtection="1"/>
    <xf numFmtId="9" fontId="4" fillId="0" borderId="0" xfId="2" applyFont="1" applyAlignment="1" applyProtection="1">
      <protection locked="0"/>
    </xf>
    <xf numFmtId="0" fontId="1" fillId="5" borderId="0" xfId="0" applyFont="1" applyFill="1" applyProtection="1"/>
    <xf numFmtId="0" fontId="1" fillId="2" borderId="0" xfId="0" applyFont="1" applyFill="1" applyProtection="1"/>
    <xf numFmtId="0" fontId="17" fillId="5" borderId="0" xfId="0" applyFont="1" applyFill="1" applyBorder="1" applyProtection="1"/>
    <xf numFmtId="0" fontId="16" fillId="5" borderId="0" xfId="0" applyFont="1" applyFill="1" applyProtection="1"/>
    <xf numFmtId="0" fontId="1" fillId="5" borderId="0" xfId="0" applyFont="1" applyFill="1" applyAlignment="1" applyProtection="1">
      <alignment horizontal="center" wrapText="1"/>
    </xf>
    <xf numFmtId="0" fontId="5" fillId="16" borderId="0" xfId="0" applyFont="1" applyFill="1" applyBorder="1" applyProtection="1"/>
    <xf numFmtId="3" fontId="4" fillId="16" borderId="0" xfId="0" applyNumberFormat="1" applyFont="1" applyFill="1" applyBorder="1" applyAlignment="1" applyProtection="1">
      <alignment horizontal="center"/>
      <protection locked="0"/>
    </xf>
    <xf numFmtId="4" fontId="5" fillId="16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4" fillId="2" borderId="0" xfId="0" applyFont="1" applyFill="1" applyAlignment="1" applyProtection="1">
      <alignment horizontal="center" wrapText="1"/>
    </xf>
    <xf numFmtId="0" fontId="4" fillId="9" borderId="0" xfId="0" applyFont="1" applyFill="1" applyBorder="1" applyProtection="1"/>
    <xf numFmtId="9" fontId="4" fillId="9" borderId="0" xfId="2" applyFont="1" applyFill="1" applyAlignment="1" applyProtection="1">
      <alignment horizontal="center"/>
      <protection locked="0"/>
    </xf>
    <xf numFmtId="3" fontId="4" fillId="9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 applyBorder="1" applyProtection="1">
      <protection hidden="1"/>
    </xf>
    <xf numFmtId="0" fontId="4" fillId="2" borderId="0" xfId="0" applyFont="1" applyFill="1" applyBorder="1" applyProtection="1"/>
    <xf numFmtId="4" fontId="0" fillId="2" borderId="0" xfId="0" applyNumberFormat="1" applyFill="1" applyBorder="1" applyProtection="1">
      <protection hidden="1"/>
    </xf>
    <xf numFmtId="4" fontId="0" fillId="9" borderId="0" xfId="0" applyNumberFormat="1" applyFill="1" applyBorder="1" applyProtection="1"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8E0000"/>
      <color rgb="FFFDBBB9"/>
      <color rgb="FFC42308"/>
      <color rgb="FFD21E10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731520</xdr:colOff>
      <xdr:row>3</xdr:row>
      <xdr:rowOff>53340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3:M94" totalsRowShown="0" headerRowDxfId="15" dataDxfId="14" tableBorderDxfId="13">
  <autoFilter ref="A93:M94" xr:uid="{00000000-0009-0000-0100-000001000000}"/>
  <tableColumns count="13">
    <tableColumn id="1" xr3:uid="{00000000-0010-0000-0000-000001000000}" name="Columna1" dataDxfId="12"/>
    <tableColumn id="2" xr3:uid="{00000000-0010-0000-0000-000002000000}" name="Columna2" dataDxfId="11">
      <calculatedColumnFormula>IF(($B$75-$B$78-$B$89)&gt;0,$B$75-$B$78-$B$89,0)</calculatedColumnFormula>
    </tableColumn>
    <tableColumn id="3" xr3:uid="{00000000-0010-0000-0000-000003000000}" name="Columna3" dataDxfId="10">
      <calculatedColumnFormula>IF(($C$75-$C$78-$C$89)&gt;0,$C$75-$C$78-$C$89,0)</calculatedColumnFormula>
    </tableColumn>
    <tableColumn id="4" xr3:uid="{00000000-0010-0000-0000-000004000000}" name="Columna4" dataDxfId="9">
      <calculatedColumnFormula>IF(($D$75-$D$78-$D$89)&gt;0,$D$75-$D$78-$D$89,0)</calculatedColumnFormula>
    </tableColumn>
    <tableColumn id="5" xr3:uid="{00000000-0010-0000-0000-000005000000}" name="Columna5" dataDxfId="8">
      <calculatedColumnFormula>IF(($E$75-$E$78-$E$89)&gt;0,$E$75-$E$78-$E$89,0)</calculatedColumnFormula>
    </tableColumn>
    <tableColumn id="6" xr3:uid="{00000000-0010-0000-0000-000006000000}" name="Columna6" dataDxfId="7">
      <calculatedColumnFormula>IF(($F$75-$F$78-$F$89)&gt;0,$F$75-$F$78-$F$89,0)</calculatedColumnFormula>
    </tableColumn>
    <tableColumn id="7" xr3:uid="{00000000-0010-0000-0000-000007000000}" name="Columna7" dataDxfId="6">
      <calculatedColumnFormula>IF(($G$75-$G$78-$G$89)&gt;0,$G$75-$G$78-$G$89,0)</calculatedColumnFormula>
    </tableColumn>
    <tableColumn id="8" xr3:uid="{00000000-0010-0000-0000-000008000000}" name="Columna8" dataDxfId="5">
      <calculatedColumnFormula>IF(($H$75-$H$78-$H$89)&gt;0,$H$75-$H$78-$H$89,0)</calculatedColumnFormula>
    </tableColumn>
    <tableColumn id="9" xr3:uid="{00000000-0010-0000-0000-000009000000}" name="Columna9" dataDxfId="4">
      <calculatedColumnFormula>IF(($I$75-$I$78-$I$89)&gt;0,$I$75-$I$78-$I$89,0)</calculatedColumnFormula>
    </tableColumn>
    <tableColumn id="10" xr3:uid="{00000000-0010-0000-0000-00000A000000}" name="Columna10" dataDxfId="3">
      <calculatedColumnFormula>IF(($J$75-$J$78-$J$89)&gt;0,$J$75-$J$78-$J$89,0)</calculatedColumnFormula>
    </tableColumn>
    <tableColumn id="11" xr3:uid="{00000000-0010-0000-0000-00000B000000}" name="Columna11" dataDxfId="2">
      <calculatedColumnFormula>IF(($K$75-$K$78-$K$89)&gt;0,$K$75-$K$78-$K$89,0)</calculatedColumnFormula>
    </tableColumn>
    <tableColumn id="12" xr3:uid="{00000000-0010-0000-0000-00000C000000}" name="Columna12" dataDxfId="1">
      <calculatedColumnFormula>IF(($L$75-$L$78-$L$89)&gt;0,$L$75-$L$78-$L$89,0)</calculatedColumnFormula>
    </tableColumn>
    <tableColumn id="13" xr3:uid="{00000000-0010-0000-0000-00000D000000}" name="Columna13" dataDxfId="0">
      <calculatedColumnFormula>IF(($M$75-$M$78-$M$89)&gt;0,$M$75-$M$78-$M$89,0)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showGridLines="0" tabSelected="1" zoomScale="120" zoomScaleNormal="120" workbookViewId="0">
      <selection activeCell="B7" sqref="B7"/>
    </sheetView>
  </sheetViews>
  <sheetFormatPr baseColWidth="10" defaultColWidth="11.42578125" defaultRowHeight="15" x14ac:dyDescent="0.25"/>
  <cols>
    <col min="1" max="1" width="50.42578125" style="2" customWidth="1"/>
    <col min="2" max="2" width="14" style="2" customWidth="1"/>
    <col min="3" max="4" width="12.7109375" style="2" customWidth="1"/>
    <col min="5" max="5" width="15" style="2" customWidth="1"/>
    <col min="6" max="9" width="12.7109375" style="2" customWidth="1"/>
    <col min="10" max="12" width="13" style="2" customWidth="1"/>
    <col min="13" max="13" width="14.85546875" style="2" customWidth="1"/>
    <col min="14" max="14" width="11.42578125" style="2"/>
    <col min="15" max="15" width="27" style="2" bestFit="1" customWidth="1"/>
    <col min="16" max="16384" width="11.42578125" style="2"/>
  </cols>
  <sheetData>
    <row r="1" spans="1:19" x14ac:dyDescent="0.25">
      <c r="A1"/>
      <c r="G1" s="17"/>
      <c r="H1" s="17"/>
      <c r="I1" s="17"/>
      <c r="J1" s="17"/>
      <c r="K1" s="17"/>
      <c r="L1" s="17"/>
      <c r="M1" s="17"/>
    </row>
    <row r="2" spans="1:19" x14ac:dyDescent="0.25">
      <c r="E2" s="195" t="s">
        <v>164</v>
      </c>
      <c r="F2" s="195"/>
      <c r="G2" s="194"/>
      <c r="H2" s="194"/>
      <c r="I2" s="17"/>
      <c r="J2" s="17"/>
      <c r="K2" s="17"/>
      <c r="L2" s="17"/>
      <c r="M2" s="17"/>
    </row>
    <row r="3" spans="1:19" x14ac:dyDescent="0.25">
      <c r="G3" s="17"/>
      <c r="H3" s="17"/>
      <c r="I3" s="17"/>
      <c r="J3" s="17"/>
      <c r="K3" s="17"/>
      <c r="L3" s="17"/>
      <c r="M3" s="17"/>
    </row>
    <row r="4" spans="1:19" ht="15.75" x14ac:dyDescent="0.25">
      <c r="A4" s="21" t="s">
        <v>0</v>
      </c>
      <c r="E4" s="4"/>
      <c r="G4" s="17"/>
      <c r="H4" s="17"/>
      <c r="I4" s="17"/>
      <c r="J4" s="17"/>
      <c r="K4" s="163" t="s">
        <v>140</v>
      </c>
      <c r="L4" s="163"/>
      <c r="M4" s="163"/>
    </row>
    <row r="5" spans="1:19" x14ac:dyDescent="0.25">
      <c r="A5" s="4"/>
      <c r="B5" s="4" t="s">
        <v>139</v>
      </c>
      <c r="C5" s="4"/>
      <c r="D5" s="5"/>
      <c r="E5" s="5"/>
      <c r="F5" s="5"/>
      <c r="G5" s="16"/>
      <c r="H5" s="16"/>
      <c r="I5" s="16"/>
      <c r="J5" s="16"/>
      <c r="K5" s="16"/>
      <c r="L5" s="16"/>
      <c r="M5" s="16"/>
      <c r="N5" s="5"/>
      <c r="P5" s="5"/>
      <c r="Q5" s="5"/>
      <c r="R5" s="5"/>
      <c r="S5" s="5"/>
    </row>
    <row r="6" spans="1:19" s="8" customFormat="1" x14ac:dyDescent="0.25">
      <c r="A6" s="51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6"/>
      <c r="O6" s="7"/>
      <c r="P6" s="6"/>
      <c r="Q6" s="6"/>
      <c r="R6" s="6"/>
      <c r="S6" s="6"/>
    </row>
    <row r="7" spans="1:19" s="8" customFormat="1" ht="15.75" customHeight="1" x14ac:dyDescent="0.25">
      <c r="A7" s="9" t="s">
        <v>14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6"/>
      <c r="P7" s="6"/>
      <c r="Q7" s="6"/>
      <c r="R7" s="6"/>
      <c r="S7" s="6"/>
    </row>
    <row r="8" spans="1:19" s="8" customFormat="1" x14ac:dyDescent="0.25">
      <c r="A8" s="9" t="s">
        <v>15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6"/>
      <c r="P8" s="6"/>
      <c r="Q8" s="6"/>
      <c r="R8" s="6"/>
      <c r="S8" s="6"/>
    </row>
    <row r="9" spans="1:19" s="8" customFormat="1" x14ac:dyDescent="0.25">
      <c r="A9" s="9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6"/>
      <c r="P9" s="6"/>
      <c r="Q9" s="6"/>
      <c r="R9" s="6"/>
      <c r="S9" s="6"/>
    </row>
    <row r="10" spans="1:19" s="8" customFormat="1" ht="15" customHeight="1" x14ac:dyDescent="0.25">
      <c r="A10" s="57" t="s">
        <v>17</v>
      </c>
      <c r="B10" s="126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6"/>
      <c r="P10" s="6"/>
      <c r="Q10" s="6"/>
      <c r="R10" s="6"/>
      <c r="S10" s="6"/>
    </row>
    <row r="11" spans="1:19" s="8" customFormat="1" x14ac:dyDescent="0.25">
      <c r="A11" s="9" t="s">
        <v>18</v>
      </c>
      <c r="B11" s="127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6"/>
      <c r="P11" s="6"/>
      <c r="Q11" s="6"/>
      <c r="R11" s="6"/>
      <c r="S11" s="6"/>
    </row>
    <row r="12" spans="1:19" s="8" customFormat="1" x14ac:dyDescent="0.25">
      <c r="A12" s="37" t="s">
        <v>19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6"/>
      <c r="P12" s="6"/>
      <c r="Q12" s="6"/>
      <c r="R12" s="6"/>
      <c r="S12" s="6"/>
    </row>
    <row r="13" spans="1:19" s="8" customFormat="1" x14ac:dyDescent="0.25">
      <c r="A13" s="85" t="s">
        <v>131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6"/>
      <c r="P13" s="6"/>
      <c r="Q13" s="6"/>
      <c r="R13" s="6"/>
      <c r="S13" s="6"/>
    </row>
    <row r="14" spans="1:19" s="8" customFormat="1" x14ac:dyDescent="0.25">
      <c r="A14" s="86" t="s">
        <v>117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6"/>
      <c r="P14" s="6"/>
      <c r="Q14" s="6"/>
      <c r="R14" s="6"/>
      <c r="S14" s="6"/>
    </row>
    <row r="15" spans="1:19" s="8" customFormat="1" x14ac:dyDescent="0.25">
      <c r="A15" s="37" t="s">
        <v>20</v>
      </c>
      <c r="B15" s="128"/>
      <c r="C15" s="128"/>
      <c r="D15" s="128"/>
      <c r="E15" s="128"/>
      <c r="F15" s="128"/>
      <c r="G15" s="129"/>
      <c r="H15" s="128"/>
      <c r="I15" s="128"/>
      <c r="J15" s="128"/>
      <c r="K15" s="128"/>
      <c r="L15" s="128"/>
      <c r="M15" s="129"/>
      <c r="N15" s="6"/>
      <c r="O15" s="10"/>
      <c r="P15" s="6"/>
      <c r="Q15" s="6"/>
      <c r="R15" s="6"/>
      <c r="S15" s="6"/>
    </row>
    <row r="16" spans="1:19" s="8" customFormat="1" x14ac:dyDescent="0.25">
      <c r="A16" s="11" t="s">
        <v>21</v>
      </c>
      <c r="B16" s="98">
        <f>SUM(B7:B15)</f>
        <v>0</v>
      </c>
      <c r="C16" s="98">
        <f t="shared" ref="C16:M16" si="0">SUM(C7:C15)</f>
        <v>0</v>
      </c>
      <c r="D16" s="98">
        <f t="shared" si="0"/>
        <v>0</v>
      </c>
      <c r="E16" s="98">
        <f t="shared" si="0"/>
        <v>0</v>
      </c>
      <c r="F16" s="98">
        <f t="shared" si="0"/>
        <v>0</v>
      </c>
      <c r="G16" s="98">
        <f t="shared" si="0"/>
        <v>0</v>
      </c>
      <c r="H16" s="98">
        <f t="shared" si="0"/>
        <v>0</v>
      </c>
      <c r="I16" s="98">
        <f t="shared" si="0"/>
        <v>0</v>
      </c>
      <c r="J16" s="98">
        <f t="shared" si="0"/>
        <v>0</v>
      </c>
      <c r="K16" s="98">
        <f t="shared" si="0"/>
        <v>0</v>
      </c>
      <c r="L16" s="98">
        <f t="shared" si="0"/>
        <v>0</v>
      </c>
      <c r="M16" s="98">
        <f t="shared" si="0"/>
        <v>0</v>
      </c>
      <c r="N16" s="6"/>
      <c r="P16" s="6"/>
      <c r="Q16" s="6"/>
      <c r="R16" s="6"/>
      <c r="S16" s="6"/>
    </row>
    <row r="17" spans="1:20" s="8" customFormat="1" x14ac:dyDescent="0.25">
      <c r="A17" s="29" t="s">
        <v>22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6"/>
      <c r="P17" s="6"/>
      <c r="Q17" s="6"/>
      <c r="R17" s="6"/>
      <c r="S17" s="6"/>
    </row>
    <row r="18" spans="1:20" s="8" customFormat="1" x14ac:dyDescent="0.25">
      <c r="A18" s="29" t="s">
        <v>23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"/>
      <c r="P18" s="6"/>
      <c r="Q18" s="6"/>
      <c r="R18" s="6"/>
      <c r="S18" s="6"/>
    </row>
    <row r="19" spans="1:20" s="8" customFormat="1" x14ac:dyDescent="0.25">
      <c r="A19" s="12" t="s">
        <v>24</v>
      </c>
      <c r="B19" s="99">
        <f>SUM(B17:B18)</f>
        <v>0</v>
      </c>
      <c r="C19" s="99">
        <f t="shared" ref="C19:M19" si="1">SUM(C17:C18)</f>
        <v>0</v>
      </c>
      <c r="D19" s="99">
        <f t="shared" si="1"/>
        <v>0</v>
      </c>
      <c r="E19" s="99">
        <f t="shared" si="1"/>
        <v>0</v>
      </c>
      <c r="F19" s="99">
        <f t="shared" si="1"/>
        <v>0</v>
      </c>
      <c r="G19" s="99">
        <f t="shared" si="1"/>
        <v>0</v>
      </c>
      <c r="H19" s="99">
        <f t="shared" si="1"/>
        <v>0</v>
      </c>
      <c r="I19" s="99">
        <f t="shared" si="1"/>
        <v>0</v>
      </c>
      <c r="J19" s="99">
        <f t="shared" si="1"/>
        <v>0</v>
      </c>
      <c r="K19" s="99">
        <f t="shared" si="1"/>
        <v>0</v>
      </c>
      <c r="L19" s="99">
        <f t="shared" si="1"/>
        <v>0</v>
      </c>
      <c r="M19" s="99">
        <f t="shared" si="1"/>
        <v>0</v>
      </c>
      <c r="N19" s="6"/>
      <c r="P19" s="6"/>
      <c r="Q19" s="6"/>
      <c r="R19" s="6"/>
      <c r="S19" s="6"/>
    </row>
    <row r="20" spans="1:20" x14ac:dyDescent="0.25">
      <c r="A20" s="9" t="s">
        <v>25</v>
      </c>
      <c r="B20" s="100">
        <f>IF($B$16&gt;318103.83,(318103.83*$C$158),$B$16*+$C$158)</f>
        <v>0</v>
      </c>
      <c r="C20" s="100">
        <f>IF($C$16&gt;318103.83,(318103.83*$C$158),$C$16*$C$158)</f>
        <v>0</v>
      </c>
      <c r="D20" s="100">
        <f>IF($D$16&gt;357166.98,(357166.98*$C$158),$D$16*$C$158)</f>
        <v>0</v>
      </c>
      <c r="E20" s="100">
        <f>IF($E$16&gt;357166.98,(357166.98*$C$158),$E$16*$C$158)</f>
        <v>0</v>
      </c>
      <c r="F20" s="100">
        <f>IF($F$16&gt;357166.98,(357166.98*$C$158),$F$16*$C$158)</f>
        <v>0</v>
      </c>
      <c r="G20" s="100">
        <f>IF($G$16&gt;616113.05,(616113.05*$C$158),$G$16*$C$158)</f>
        <v>0</v>
      </c>
      <c r="H20" s="100">
        <f>IF($H$16&gt;410742.03,(410742.03*$C$158),$H$16*$C$158)</f>
        <v>0</v>
      </c>
      <c r="I20" s="100">
        <f>IF($I$16&gt;410742.03,(410742.03*$C$158),$I$16*$C$158)</f>
        <v>0</v>
      </c>
      <c r="J20" s="100">
        <f>IF($J$16&gt;410742.03,(410742.03*$C$158),$J$16*$C$158)</f>
        <v>0</v>
      </c>
      <c r="K20" s="100">
        <f>IF($K$16&gt;410742.03,(410742.03*$C$158),$K$16*$C$158)</f>
        <v>0</v>
      </c>
      <c r="L20" s="100">
        <f>IF($L$16&gt;410742.03,(410742.03*$C$158),$L$16*$C$158)</f>
        <v>0</v>
      </c>
      <c r="M20" s="100">
        <f>IF($M$16&gt;616113.05,(616113.05*$C$158),$M$16*$C$158)</f>
        <v>0</v>
      </c>
      <c r="N20" s="5"/>
      <c r="O20" s="5"/>
      <c r="P20" s="5"/>
      <c r="Q20" s="5"/>
      <c r="R20" s="5"/>
      <c r="S20" s="5"/>
    </row>
    <row r="21" spans="1:20" x14ac:dyDescent="0.25">
      <c r="A21" s="9" t="s">
        <v>26</v>
      </c>
      <c r="B21" s="100">
        <f>IF($B$16&gt;318103.83,(318103.83*$C$159),$B$16*$C$159)</f>
        <v>0</v>
      </c>
      <c r="C21" s="100">
        <f>IF($C$16&gt;318103.83,(318103.83*$C$159),$C$16*$C$159)</f>
        <v>0</v>
      </c>
      <c r="D21" s="100">
        <f>IF($D$16&gt;357166.98,(357166.98*$C$159),$D$16*$C$159)</f>
        <v>0</v>
      </c>
      <c r="E21" s="100">
        <f>IF($E$16&gt;357166.98,(357166.98*$C$159),$E$16*$C$159)</f>
        <v>0</v>
      </c>
      <c r="F21" s="100">
        <f>IF($F$16&gt;357166.98,(357166.98*$C$159),$F$16*$C$159)</f>
        <v>0</v>
      </c>
      <c r="G21" s="100">
        <f>IF($G$16&gt;616113.05,(616113.05*$C$159),$G$16*$C$159)</f>
        <v>0</v>
      </c>
      <c r="H21" s="100">
        <f>IF($H$16&gt;410742.03,(410742.03*$C$159),$H$16*$C$159)</f>
        <v>0</v>
      </c>
      <c r="I21" s="100">
        <f>IF($I$16&gt;410742.03,(410742.03*$C$159),$I$16*$C$159)</f>
        <v>0</v>
      </c>
      <c r="J21" s="100">
        <f>IF($J$16&gt;410742.03,(410742.03*$C$159),$J$16*$C$159)</f>
        <v>0</v>
      </c>
      <c r="K21" s="100">
        <f>IF($K$16&gt;410742.03,(410742.03*$C$159),$K$16*$C$159)</f>
        <v>0</v>
      </c>
      <c r="L21" s="100">
        <f>IF($L$16&gt;410742.03,(410742.03*$C$159),$L$16*$C$159)</f>
        <v>0</v>
      </c>
      <c r="M21" s="100">
        <f>IF($M$16&gt;616113.05,(616113.05*$C$159),$M$16*$C$159)</f>
        <v>0</v>
      </c>
      <c r="N21" s="5"/>
      <c r="O21" s="5"/>
      <c r="P21" s="5"/>
      <c r="Q21" s="5"/>
      <c r="R21" s="5"/>
      <c r="S21" s="5"/>
    </row>
    <row r="22" spans="1:20" x14ac:dyDescent="0.25">
      <c r="A22" s="9" t="s">
        <v>27</v>
      </c>
      <c r="B22" s="100">
        <f>IF($B$16&gt;318103.83,(318103.83*$C$160),$B$16*$C$160)</f>
        <v>0</v>
      </c>
      <c r="C22" s="100">
        <f>IF($C$16&gt;318103.83,(318103.83*$C$160),$C$16*$C$160)</f>
        <v>0</v>
      </c>
      <c r="D22" s="100">
        <f>IF($D$16&gt;357166.98,(357166.98*$C$160),$D$16*$C$160)</f>
        <v>0</v>
      </c>
      <c r="E22" s="100">
        <f>IF($E$16&gt;357166.98,(357166.98*$C$160),$E$16*$C$160)</f>
        <v>0</v>
      </c>
      <c r="F22" s="100">
        <f>IF($F$16&gt;357166.98,(357166.98*$C$160),$F$16*$C$160)</f>
        <v>0</v>
      </c>
      <c r="G22" s="100">
        <f>IF($G$16&gt;616113.05,(616113.05*$C$160),$G$16*$C$160)</f>
        <v>0</v>
      </c>
      <c r="H22" s="100">
        <f>IF($H$16&gt;410742.03,(410742.03*$C$160),$H$16*$C$160)</f>
        <v>0</v>
      </c>
      <c r="I22" s="100">
        <f>IF($I$16&gt;410742.03,(410742.03*$C$160),$I$16*$C$160)</f>
        <v>0</v>
      </c>
      <c r="J22" s="100">
        <f>IF($J$16&gt;410742.03,(410742.03*$C$160),$J$16*$C$160)</f>
        <v>0</v>
      </c>
      <c r="K22" s="100">
        <f>IF($K$16&gt;410742.03,(410742.03*$C$160),$K$16*$C$160)</f>
        <v>0</v>
      </c>
      <c r="L22" s="100">
        <f>IF($L$16&gt;410742.03,(410742.03*$C$160),$L$16*$C$160)</f>
        <v>0</v>
      </c>
      <c r="M22" s="100">
        <f>IF($M$16&gt;616113.05,(616113.05*$C$160),$M$16*$C$160)</f>
        <v>0</v>
      </c>
      <c r="N22" s="5"/>
      <c r="O22" s="5"/>
      <c r="P22" s="5"/>
      <c r="Q22" s="5"/>
      <c r="R22" s="5"/>
      <c r="S22" s="5"/>
    </row>
    <row r="23" spans="1:20" x14ac:dyDescent="0.25">
      <c r="A23" s="9" t="s">
        <v>28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5"/>
      <c r="O23" s="5"/>
      <c r="P23" s="5"/>
      <c r="Q23" s="5"/>
      <c r="R23" s="5"/>
      <c r="S23" s="5"/>
    </row>
    <row r="24" spans="1:20" x14ac:dyDescent="0.25">
      <c r="A24" s="12" t="s">
        <v>29</v>
      </c>
      <c r="B24" s="99">
        <f>SUM(B20:B23)</f>
        <v>0</v>
      </c>
      <c r="C24" s="99">
        <f t="shared" ref="C24:M24" si="2">SUM(C20:C23)</f>
        <v>0</v>
      </c>
      <c r="D24" s="99">
        <f t="shared" si="2"/>
        <v>0</v>
      </c>
      <c r="E24" s="99">
        <f t="shared" si="2"/>
        <v>0</v>
      </c>
      <c r="F24" s="99">
        <f t="shared" si="2"/>
        <v>0</v>
      </c>
      <c r="G24" s="99">
        <f t="shared" si="2"/>
        <v>0</v>
      </c>
      <c r="H24" s="99">
        <f t="shared" si="2"/>
        <v>0</v>
      </c>
      <c r="I24" s="99">
        <f t="shared" si="2"/>
        <v>0</v>
      </c>
      <c r="J24" s="99">
        <f t="shared" si="2"/>
        <v>0</v>
      </c>
      <c r="K24" s="99">
        <f t="shared" si="2"/>
        <v>0</v>
      </c>
      <c r="L24" s="99">
        <f t="shared" si="2"/>
        <v>0</v>
      </c>
      <c r="M24" s="99">
        <f t="shared" si="2"/>
        <v>0</v>
      </c>
      <c r="N24" s="5"/>
      <c r="O24" s="5"/>
      <c r="P24" s="5"/>
      <c r="Q24" s="5"/>
      <c r="R24" s="5"/>
      <c r="S24" s="5"/>
    </row>
    <row r="25" spans="1:20" x14ac:dyDescent="0.25">
      <c r="A25" s="20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5"/>
      <c r="O25" s="5"/>
      <c r="P25" s="5"/>
      <c r="Q25" s="5"/>
      <c r="R25" s="5"/>
      <c r="S25" s="5"/>
    </row>
    <row r="26" spans="1:20" x14ac:dyDescent="0.25">
      <c r="A26" s="36" t="s">
        <v>30</v>
      </c>
      <c r="B26" s="103">
        <f>B16+B19-B24</f>
        <v>0</v>
      </c>
      <c r="C26" s="103">
        <f t="shared" ref="C26:M26" si="3">C16+C19-C24</f>
        <v>0</v>
      </c>
      <c r="D26" s="103">
        <f t="shared" si="3"/>
        <v>0</v>
      </c>
      <c r="E26" s="103">
        <f t="shared" si="3"/>
        <v>0</v>
      </c>
      <c r="F26" s="103">
        <f t="shared" si="3"/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  <c r="M26" s="103">
        <f t="shared" si="3"/>
        <v>0</v>
      </c>
      <c r="N26" s="5"/>
      <c r="O26" s="5"/>
      <c r="P26" s="5"/>
      <c r="Q26" s="5"/>
      <c r="R26" s="5"/>
      <c r="S26" s="5"/>
    </row>
    <row r="27" spans="1:20" x14ac:dyDescent="0.25">
      <c r="A27" s="28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5"/>
      <c r="O27" s="5"/>
      <c r="P27" s="5"/>
      <c r="Q27" s="5"/>
      <c r="R27" s="5"/>
      <c r="S27" s="5"/>
    </row>
    <row r="28" spans="1:20" ht="15.75" x14ac:dyDescent="0.25">
      <c r="A28" s="21" t="s">
        <v>31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5"/>
      <c r="O28" s="5"/>
      <c r="P28" s="5"/>
      <c r="Q28" s="5"/>
      <c r="R28" s="5"/>
      <c r="S28" s="5"/>
    </row>
    <row r="29" spans="1:20" ht="15.75" x14ac:dyDescent="0.25">
      <c r="A29" s="2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46"/>
      <c r="O29" s="5"/>
      <c r="P29" s="5"/>
      <c r="Q29" s="5"/>
      <c r="R29" s="5"/>
      <c r="S29" s="5"/>
    </row>
    <row r="30" spans="1:20" x14ac:dyDescent="0.25">
      <c r="A30" s="34" t="s">
        <v>32</v>
      </c>
      <c r="B30" s="105" t="s">
        <v>2</v>
      </c>
      <c r="C30" s="105" t="s">
        <v>3</v>
      </c>
      <c r="D30" s="105" t="s">
        <v>4</v>
      </c>
      <c r="E30" s="105" t="s">
        <v>5</v>
      </c>
      <c r="F30" s="105" t="s">
        <v>6</v>
      </c>
      <c r="G30" s="105" t="s">
        <v>7</v>
      </c>
      <c r="H30" s="105" t="s">
        <v>8</v>
      </c>
      <c r="I30" s="105" t="s">
        <v>9</v>
      </c>
      <c r="J30" s="105" t="s">
        <v>10</v>
      </c>
      <c r="K30" s="105" t="s">
        <v>11</v>
      </c>
      <c r="L30" s="105" t="s">
        <v>12</v>
      </c>
      <c r="M30" s="105" t="s">
        <v>13</v>
      </c>
      <c r="N30" s="46"/>
      <c r="O30" s="5"/>
      <c r="P30" s="5"/>
      <c r="Q30" s="5"/>
      <c r="R30" s="5"/>
      <c r="S30" s="5"/>
    </row>
    <row r="31" spans="1:20" x14ac:dyDescent="0.25">
      <c r="A31" s="32" t="s">
        <v>133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5"/>
      <c r="O31" s="5"/>
      <c r="P31" s="5"/>
      <c r="Q31" s="5"/>
      <c r="R31" s="5"/>
      <c r="S31" s="5"/>
      <c r="T31" s="5"/>
    </row>
    <row r="32" spans="1:20" x14ac:dyDescent="0.25">
      <c r="A32" s="32" t="s">
        <v>16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5"/>
      <c r="O32" s="5"/>
      <c r="P32" s="5"/>
      <c r="Q32" s="5"/>
      <c r="R32" s="5"/>
      <c r="S32" s="5"/>
      <c r="T32" s="5"/>
    </row>
    <row r="33" spans="1:20" x14ac:dyDescent="0.25">
      <c r="A33" s="58" t="s">
        <v>33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46"/>
      <c r="O33" s="5"/>
      <c r="P33" s="5"/>
      <c r="Q33" s="5"/>
      <c r="R33" s="5"/>
      <c r="S33" s="5"/>
      <c r="T33" s="5"/>
    </row>
    <row r="34" spans="1:20" x14ac:dyDescent="0.25">
      <c r="A34" s="29" t="s">
        <v>131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46"/>
      <c r="O34" s="5"/>
      <c r="P34" s="5"/>
      <c r="Q34" s="5"/>
      <c r="R34" s="5"/>
      <c r="S34" s="5"/>
      <c r="T34" s="5"/>
    </row>
    <row r="35" spans="1:20" x14ac:dyDescent="0.25">
      <c r="A35" s="58" t="s">
        <v>34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46"/>
      <c r="O35" s="5"/>
      <c r="P35" s="5"/>
      <c r="Q35" s="5"/>
      <c r="R35" s="5"/>
      <c r="S35" s="5"/>
      <c r="T35" s="5"/>
    </row>
    <row r="36" spans="1:20" x14ac:dyDescent="0.25">
      <c r="A36" s="9" t="s">
        <v>35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5"/>
      <c r="O36" s="5"/>
      <c r="P36" s="5"/>
      <c r="Q36" s="5"/>
      <c r="R36" s="5"/>
      <c r="S36" s="5"/>
    </row>
    <row r="37" spans="1:20" x14ac:dyDescent="0.25">
      <c r="A37" s="9" t="s">
        <v>36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5"/>
      <c r="O37" s="5"/>
      <c r="P37" s="5"/>
      <c r="Q37" s="5"/>
      <c r="R37" s="5"/>
      <c r="S37" s="5"/>
    </row>
    <row r="38" spans="1:20" ht="15.75" x14ac:dyDescent="0.25">
      <c r="A38" s="31" t="s">
        <v>20</v>
      </c>
      <c r="B38" s="139"/>
      <c r="C38" s="128"/>
      <c r="D38" s="128"/>
      <c r="E38" s="128"/>
      <c r="F38" s="128"/>
      <c r="G38" s="129"/>
      <c r="H38" s="128"/>
      <c r="I38" s="128"/>
      <c r="J38" s="128"/>
      <c r="K38" s="128"/>
      <c r="L38" s="128"/>
      <c r="M38" s="129"/>
      <c r="N38" s="5"/>
      <c r="O38" s="5"/>
      <c r="P38" s="5"/>
      <c r="Q38" s="5"/>
      <c r="R38" s="5"/>
      <c r="S38" s="5"/>
    </row>
    <row r="39" spans="1:20" ht="15.75" x14ac:dyDescent="0.25">
      <c r="A39" s="31" t="s">
        <v>37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5"/>
      <c r="O39" s="5"/>
      <c r="P39" s="5"/>
      <c r="Q39" s="5"/>
      <c r="R39" s="5"/>
      <c r="S39" s="5"/>
    </row>
    <row r="40" spans="1:20" x14ac:dyDescent="0.25">
      <c r="A40" s="4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5"/>
      <c r="O40" s="5"/>
      <c r="P40" s="5"/>
      <c r="Q40" s="5"/>
      <c r="R40" s="5"/>
      <c r="S40" s="5"/>
    </row>
    <row r="41" spans="1:20" x14ac:dyDescent="0.25">
      <c r="A41" s="24" t="s">
        <v>38</v>
      </c>
      <c r="B41" s="107">
        <f>B16+B19+B31+B33+B35+B36+B37-B15+B34+B32</f>
        <v>0</v>
      </c>
      <c r="C41" s="107">
        <f>C16+C19+C31+C33+C35+C36+C37-C15+C34+C32</f>
        <v>0</v>
      </c>
      <c r="D41" s="107">
        <f t="shared" ref="D41:M41" si="4">D16+D19+D31+D33+D35+D36+D37-D15+D34+D32</f>
        <v>0</v>
      </c>
      <c r="E41" s="107">
        <f t="shared" si="4"/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5"/>
      <c r="O41" s="5"/>
      <c r="P41" s="5"/>
      <c r="Q41" s="5"/>
      <c r="R41" s="5"/>
      <c r="S41" s="5"/>
    </row>
    <row r="42" spans="1:20" x14ac:dyDescent="0.25">
      <c r="A42" s="36" t="s">
        <v>145</v>
      </c>
      <c r="B42" s="103">
        <f>AVERAGE($B$41)</f>
        <v>0</v>
      </c>
      <c r="C42" s="103">
        <f>AVERAGE($B$41:$C$41)</f>
        <v>0</v>
      </c>
      <c r="D42" s="103">
        <f>AVERAGE($B$41:$D$41)</f>
        <v>0</v>
      </c>
      <c r="E42" s="103">
        <f>AVERAGE($B$41:$E$41)</f>
        <v>0</v>
      </c>
      <c r="F42" s="103">
        <f>AVERAGE($B$41:$F$41)</f>
        <v>0</v>
      </c>
      <c r="G42" s="103">
        <f>AVERAGE($B$41:$G$41)</f>
        <v>0</v>
      </c>
      <c r="H42" s="103">
        <f>AVERAGE($B$41:$H$41)</f>
        <v>0</v>
      </c>
      <c r="I42" s="103">
        <f>AVERAGE($B$41:$I$41)</f>
        <v>0</v>
      </c>
      <c r="J42" s="103">
        <f>AVERAGE($B$41:$J$41)</f>
        <v>0</v>
      </c>
      <c r="K42" s="103">
        <f>AVERAGE($B$41:$K$41)</f>
        <v>0</v>
      </c>
      <c r="L42" s="103">
        <f>AVERAGE($B$41:$L$41)</f>
        <v>0</v>
      </c>
      <c r="M42" s="103">
        <f>AVERAGE($B$41:$M$41)</f>
        <v>0</v>
      </c>
      <c r="N42" s="5"/>
      <c r="O42" s="5"/>
      <c r="P42" s="5"/>
      <c r="Q42" s="5"/>
      <c r="R42" s="5"/>
      <c r="S42" s="5"/>
    </row>
    <row r="43" spans="1:20" x14ac:dyDescent="0.25">
      <c r="A43" s="36" t="s">
        <v>148</v>
      </c>
      <c r="B43" s="103">
        <f>AVERAGE($B$41)</f>
        <v>0</v>
      </c>
      <c r="C43" s="103">
        <f>AVERAGE($B$41:$C$41)</f>
        <v>0</v>
      </c>
      <c r="D43" s="103">
        <f>AVERAGE($B$41:$D$41)</f>
        <v>0</v>
      </c>
      <c r="E43" s="103">
        <f>AVERAGE($B$41:$E$41)</f>
        <v>0</v>
      </c>
      <c r="F43" s="103">
        <f>AVERAGE($B$41:$F$41)</f>
        <v>0</v>
      </c>
      <c r="G43" s="103">
        <f>AVERAGE($G$41)</f>
        <v>0</v>
      </c>
      <c r="H43" s="103">
        <f>AVERAGE($G$41:$H$41)</f>
        <v>0</v>
      </c>
      <c r="I43" s="103">
        <f>AVERAGE($G$41:$I$41)</f>
        <v>0</v>
      </c>
      <c r="J43" s="103">
        <f>AVERAGE($G$41:$J$41)</f>
        <v>0</v>
      </c>
      <c r="K43" s="103">
        <f>AVERAGE($G$41:$K$41)</f>
        <v>0</v>
      </c>
      <c r="L43" s="103">
        <f>AVERAGE($G$41:$L$41)</f>
        <v>0</v>
      </c>
      <c r="M43" s="103">
        <f>AVERAGE($G$41:$M$41)</f>
        <v>0</v>
      </c>
      <c r="N43" s="5"/>
      <c r="O43" s="5"/>
      <c r="P43" s="5"/>
      <c r="Q43" s="5"/>
      <c r="R43" s="5"/>
      <c r="S43" s="5"/>
    </row>
    <row r="44" spans="1:20" x14ac:dyDescent="0.25">
      <c r="A44" s="33" t="s">
        <v>149</v>
      </c>
      <c r="B44" s="108">
        <f t="shared" ref="B44:M44" si="5">MIN(B41,B43)</f>
        <v>0</v>
      </c>
      <c r="C44" s="108">
        <f t="shared" si="5"/>
        <v>0</v>
      </c>
      <c r="D44" s="108">
        <f t="shared" si="5"/>
        <v>0</v>
      </c>
      <c r="E44" s="108">
        <f t="shared" si="5"/>
        <v>0</v>
      </c>
      <c r="F44" s="108">
        <f t="shared" si="5"/>
        <v>0</v>
      </c>
      <c r="G44" s="108">
        <f t="shared" si="5"/>
        <v>0</v>
      </c>
      <c r="H44" s="108">
        <f t="shared" si="5"/>
        <v>0</v>
      </c>
      <c r="I44" s="108">
        <f t="shared" si="5"/>
        <v>0</v>
      </c>
      <c r="J44" s="108">
        <f t="shared" si="5"/>
        <v>0</v>
      </c>
      <c r="K44" s="108">
        <f t="shared" si="5"/>
        <v>0</v>
      </c>
      <c r="L44" s="108">
        <f t="shared" si="5"/>
        <v>0</v>
      </c>
      <c r="M44" s="108">
        <f t="shared" si="5"/>
        <v>0</v>
      </c>
      <c r="N44" s="5"/>
      <c r="O44" s="5"/>
      <c r="P44" s="5"/>
      <c r="Q44" s="5"/>
      <c r="R44" s="5"/>
      <c r="S44" s="5"/>
    </row>
    <row r="45" spans="1:20" s="8" customFormat="1" ht="18.75" customHeight="1" x14ac:dyDescent="0.25">
      <c r="A45" s="73" t="s">
        <v>39</v>
      </c>
      <c r="B45" s="105" t="s">
        <v>2</v>
      </c>
      <c r="C45" s="105" t="s">
        <v>3</v>
      </c>
      <c r="D45" s="105" t="s">
        <v>4</v>
      </c>
      <c r="E45" s="105" t="s">
        <v>5</v>
      </c>
      <c r="F45" s="105" t="s">
        <v>6</v>
      </c>
      <c r="G45" s="105" t="s">
        <v>7</v>
      </c>
      <c r="H45" s="105" t="s">
        <v>8</v>
      </c>
      <c r="I45" s="105" t="s">
        <v>9</v>
      </c>
      <c r="J45" s="105" t="s">
        <v>10</v>
      </c>
      <c r="K45" s="105" t="s">
        <v>11</v>
      </c>
      <c r="L45" s="105" t="s">
        <v>12</v>
      </c>
      <c r="M45" s="105" t="s">
        <v>13</v>
      </c>
      <c r="N45" s="6"/>
      <c r="O45" s="7"/>
      <c r="P45" s="6"/>
      <c r="Q45" s="6"/>
      <c r="R45" s="6"/>
      <c r="S45" s="6"/>
    </row>
    <row r="46" spans="1:20" x14ac:dyDescent="0.25">
      <c r="A46" s="65" t="s">
        <v>40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5"/>
      <c r="O46" s="8"/>
      <c r="P46" s="14"/>
      <c r="Q46" s="5"/>
      <c r="R46" s="5"/>
      <c r="S46" s="5"/>
    </row>
    <row r="47" spans="1:20" s="17" customFormat="1" x14ac:dyDescent="0.25">
      <c r="A47" s="63" t="s">
        <v>41</v>
      </c>
      <c r="B47" s="100">
        <f t="shared" ref="B47:M47" si="6">B7+B8+B9+B11+B12</f>
        <v>0</v>
      </c>
      <c r="C47" s="100">
        <f t="shared" si="6"/>
        <v>0</v>
      </c>
      <c r="D47" s="100">
        <f t="shared" si="6"/>
        <v>0</v>
      </c>
      <c r="E47" s="100">
        <f t="shared" si="6"/>
        <v>0</v>
      </c>
      <c r="F47" s="100">
        <f t="shared" si="6"/>
        <v>0</v>
      </c>
      <c r="G47" s="100">
        <f t="shared" si="6"/>
        <v>0</v>
      </c>
      <c r="H47" s="100">
        <f t="shared" si="6"/>
        <v>0</v>
      </c>
      <c r="I47" s="100">
        <f t="shared" si="6"/>
        <v>0</v>
      </c>
      <c r="J47" s="100">
        <f t="shared" si="6"/>
        <v>0</v>
      </c>
      <c r="K47" s="100">
        <f t="shared" si="6"/>
        <v>0</v>
      </c>
      <c r="L47" s="100">
        <f t="shared" si="6"/>
        <v>0</v>
      </c>
      <c r="M47" s="100">
        <f t="shared" si="6"/>
        <v>0</v>
      </c>
      <c r="N47" s="189"/>
      <c r="O47" s="190"/>
      <c r="P47" s="53"/>
      <c r="Q47" s="16"/>
      <c r="R47" s="16"/>
      <c r="S47" s="16"/>
    </row>
    <row r="48" spans="1:20" x14ac:dyDescent="0.25">
      <c r="A48" s="9" t="s">
        <v>33</v>
      </c>
      <c r="B48" s="94">
        <f t="shared" ref="B48:M48" si="7">B17</f>
        <v>0</v>
      </c>
      <c r="C48" s="94">
        <f t="shared" si="7"/>
        <v>0</v>
      </c>
      <c r="D48" s="94">
        <f t="shared" si="7"/>
        <v>0</v>
      </c>
      <c r="E48" s="94">
        <f t="shared" si="7"/>
        <v>0</v>
      </c>
      <c r="F48" s="94">
        <f t="shared" si="7"/>
        <v>0</v>
      </c>
      <c r="G48" s="94">
        <f t="shared" si="7"/>
        <v>0</v>
      </c>
      <c r="H48" s="94">
        <f t="shared" si="7"/>
        <v>0</v>
      </c>
      <c r="I48" s="94">
        <f t="shared" si="7"/>
        <v>0</v>
      </c>
      <c r="J48" s="94">
        <f t="shared" si="7"/>
        <v>0</v>
      </c>
      <c r="K48" s="94">
        <f t="shared" si="7"/>
        <v>0</v>
      </c>
      <c r="L48" s="94">
        <f t="shared" si="7"/>
        <v>0</v>
      </c>
      <c r="M48" s="94">
        <f t="shared" si="7"/>
        <v>0</v>
      </c>
      <c r="N48" s="5"/>
      <c r="O48" s="8"/>
      <c r="P48" s="14"/>
      <c r="Q48" s="5"/>
      <c r="R48" s="5"/>
      <c r="S48" s="5"/>
    </row>
    <row r="49" spans="1:19" s="17" customFormat="1" x14ac:dyDescent="0.25">
      <c r="A49" s="63" t="s">
        <v>42</v>
      </c>
      <c r="B49" s="110">
        <f>($B$154+$B$14)/12</f>
        <v>0</v>
      </c>
      <c r="C49" s="110">
        <f>($B$154+$B$14)/12+($C$14+$C$154)/11</f>
        <v>0</v>
      </c>
      <c r="D49" s="110">
        <f>($B$154+$B$14)/12+($C$14+$C$154)/11+($D$14+$D$154)/10</f>
        <v>0</v>
      </c>
      <c r="E49" s="110">
        <f>($B$154+$B$14)/12+($C$14+$C$154)/11+($D$14+$D$154)/10+($E$14+$E$154)/9</f>
        <v>0</v>
      </c>
      <c r="F49" s="110">
        <f>($B$154+$B$14)/12+($C$14+$C$154)/11+($D$14+$D$154)/10+($E$14+$E$154)/9+($F$14+$F$154)/8</f>
        <v>0</v>
      </c>
      <c r="G49" s="110">
        <f>($B$154+$B$14)/12+($C$14+$C$154)/11+($D$14+$D$154)/10+($E$14+$E$154)/9+($F$14+$F$154)/8+($G$14+$G$154)/7</f>
        <v>0</v>
      </c>
      <c r="H49" s="110">
        <f>($B$154+$B$14)/12+($C$14+$C$154)/11+($D$14+$D$154)/10+($E$14+$E$154)/9+($F$14+$F$154)/8+($G$14+$G$154)/7+($H$14+$H$154)/6</f>
        <v>0</v>
      </c>
      <c r="I49" s="110">
        <f>($B$154+$B$14)/12+($C$14+$C$154)/11+($D$14+$D$154)/10+($E$14+$E$154)/9+($F$14+$F$154)/8+($G$14+$G$154)/7+($H$14+$H$154)/6+($I$14+$I$154)/5</f>
        <v>0</v>
      </c>
      <c r="J49" s="110">
        <f>($B$154+$B$14)/12+($C$14+$C$154)/11+($D$14+$D$154)/10+($E$14+$E$154)/9+($F$14+$F$154)/8+($G$14+$G$154)/7+($H$14+$H$154)/6+($I$14+$I$154)/5+($J$14+$J$154)/4</f>
        <v>0</v>
      </c>
      <c r="K49" s="110">
        <f>($B$154+$B$14)/12+($C$14+$C$154)/11+($D$14+$D$154)/10+($E$14+$E$154)/9+($F$14+$F$154)/8+($G$14+$G$154)/7+($H$14+$H$154)/6+($I$14+$I$154)/5+($J$14+$J$154)/4+($K$14+$K$154)/3</f>
        <v>0</v>
      </c>
      <c r="L49" s="110">
        <f>($B$154+$B$14)/12+($C$14+$C$154)/11+($D$14+$D$154)/10+($E$14+$E$154)/9+($F$14+$F$154)/8+($G$14+$G$154)/7+($H$14+$H$154)/6+($I$14+$I$154)/5+($J$14+$J$154)/4+($K$14+$K$154)/3+(L$14+$L$154)/2</f>
        <v>0</v>
      </c>
      <c r="M49" s="110">
        <f>($B$154+$B$14)/12+($C$14+$C$154)/11+($D$14+$D$154)/10+($E$14+$E$154)/9+($F$14+$F$154)/8+($G$14+$G$154)/7+($H$14+$H$154)/6+($I$14+$I$154)/5+($J$14+$J$154)/4+($K$14+$K$154)/3+(M$14+$L$154)/2+($M$14+$M$154)</f>
        <v>0</v>
      </c>
      <c r="N49" s="16"/>
      <c r="O49" s="190"/>
      <c r="P49" s="53"/>
      <c r="Q49" s="16"/>
      <c r="R49" s="16"/>
      <c r="S49" s="16"/>
    </row>
    <row r="50" spans="1:19" x14ac:dyDescent="0.25">
      <c r="A50" s="63" t="s">
        <v>35</v>
      </c>
      <c r="B50" s="110">
        <f>$B$18/12</f>
        <v>0</v>
      </c>
      <c r="C50" s="110">
        <f>$B$18/12+$C$18/11</f>
        <v>0</v>
      </c>
      <c r="D50" s="110">
        <f>$B$18/12+$C$18/11+$D$18/10</f>
        <v>0</v>
      </c>
      <c r="E50" s="110">
        <f>$B$18/12+$C$18/11+$D$18/10+$E$18/9</f>
        <v>0</v>
      </c>
      <c r="F50" s="110">
        <f>$B$18/12+$C$18/11+$D$18/10+$E$18/9+$F$18/8</f>
        <v>0</v>
      </c>
      <c r="G50" s="110">
        <f>$B$18/12+$C$18/11+$D$18/10+$E$18/9+$F$18/8+$G$18/7</f>
        <v>0</v>
      </c>
      <c r="H50" s="110">
        <f>$B$18/12+$C$18/11+$D$18/10+$E$18/9+$F$18/8+$G$18/7+$H$18/6</f>
        <v>0</v>
      </c>
      <c r="I50" s="110">
        <f>$B$18/12+$C$18/11+$D$18/10+$E$18/9+$F$18/8+$G$18/7+$H$18/6+$I$18/5</f>
        <v>0</v>
      </c>
      <c r="J50" s="110">
        <f>$B$18/12+$C$18/11+$D$18/10+$E$18/9+$F$18/8+$G$18/7+$H$18/6+$I$18/5+$J$18/4</f>
        <v>0</v>
      </c>
      <c r="K50" s="110">
        <f>$B$18/12+$C$18/11+$D$18/10+$E$18/9+$F$18/8+$G$18/7+$H$18/6+$I$18/5+$J$18/4+$K$18/3</f>
        <v>0</v>
      </c>
      <c r="L50" s="110">
        <f>$B$18/12+$C$18/11+$D$18/10+$E$18/9+$F$18/8+$G$18/7+$H$18/6+$I$18/5+$J$18/4+$K$18/3+$L$18/2</f>
        <v>0</v>
      </c>
      <c r="M50" s="110">
        <f>$B$18/12+$C$18/11+$D$18/10+$E$18/9+$F$18/8+$G$18/7+$H$18/6+$I$18/5+$J$18/4+$K$18/3+$L$18/2+$M$18</f>
        <v>0</v>
      </c>
      <c r="N50" s="5"/>
      <c r="O50" s="8"/>
      <c r="P50" s="14"/>
      <c r="Q50" s="5"/>
      <c r="R50" s="5"/>
      <c r="S50" s="5"/>
    </row>
    <row r="51" spans="1:19" x14ac:dyDescent="0.25">
      <c r="A51" s="66" t="s">
        <v>43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5"/>
      <c r="O51" s="8"/>
      <c r="P51" s="14"/>
      <c r="Q51" s="5"/>
      <c r="R51" s="5"/>
      <c r="S51" s="5"/>
    </row>
    <row r="52" spans="1:19" s="17" customFormat="1" x14ac:dyDescent="0.25">
      <c r="A52" s="62" t="s">
        <v>41</v>
      </c>
      <c r="B52" s="97">
        <f t="shared" ref="B52:M52" si="8">B31+B32</f>
        <v>0</v>
      </c>
      <c r="C52" s="97">
        <f t="shared" si="8"/>
        <v>0</v>
      </c>
      <c r="D52" s="97">
        <f t="shared" si="8"/>
        <v>0</v>
      </c>
      <c r="E52" s="97">
        <f t="shared" si="8"/>
        <v>0</v>
      </c>
      <c r="F52" s="97">
        <f t="shared" si="8"/>
        <v>0</v>
      </c>
      <c r="G52" s="97">
        <f t="shared" si="8"/>
        <v>0</v>
      </c>
      <c r="H52" s="97">
        <f t="shared" si="8"/>
        <v>0</v>
      </c>
      <c r="I52" s="97">
        <f t="shared" si="8"/>
        <v>0</v>
      </c>
      <c r="J52" s="97">
        <f t="shared" si="8"/>
        <v>0</v>
      </c>
      <c r="K52" s="97">
        <f t="shared" si="8"/>
        <v>0</v>
      </c>
      <c r="L52" s="97">
        <f t="shared" si="8"/>
        <v>0</v>
      </c>
      <c r="M52" s="97">
        <f t="shared" si="8"/>
        <v>0</v>
      </c>
      <c r="N52" s="16"/>
      <c r="O52" s="190"/>
      <c r="P52" s="53"/>
      <c r="Q52" s="16"/>
      <c r="R52" s="16"/>
      <c r="S52" s="16"/>
    </row>
    <row r="53" spans="1:19" x14ac:dyDescent="0.25">
      <c r="A53" s="62" t="s">
        <v>33</v>
      </c>
      <c r="B53" s="97">
        <f t="shared" ref="B53:M53" si="9">B33</f>
        <v>0</v>
      </c>
      <c r="C53" s="97">
        <f t="shared" si="9"/>
        <v>0</v>
      </c>
      <c r="D53" s="97">
        <f t="shared" si="9"/>
        <v>0</v>
      </c>
      <c r="E53" s="97">
        <f t="shared" si="9"/>
        <v>0</v>
      </c>
      <c r="F53" s="97">
        <f t="shared" si="9"/>
        <v>0</v>
      </c>
      <c r="G53" s="97">
        <f t="shared" si="9"/>
        <v>0</v>
      </c>
      <c r="H53" s="97">
        <f t="shared" si="9"/>
        <v>0</v>
      </c>
      <c r="I53" s="97">
        <f t="shared" si="9"/>
        <v>0</v>
      </c>
      <c r="J53" s="97">
        <f t="shared" si="9"/>
        <v>0</v>
      </c>
      <c r="K53" s="97">
        <f t="shared" si="9"/>
        <v>0</v>
      </c>
      <c r="L53" s="97">
        <f t="shared" si="9"/>
        <v>0</v>
      </c>
      <c r="M53" s="97">
        <f t="shared" si="9"/>
        <v>0</v>
      </c>
      <c r="N53" s="5"/>
      <c r="O53" s="8"/>
      <c r="P53" s="14"/>
      <c r="Q53" s="5"/>
      <c r="R53" s="5"/>
      <c r="S53" s="5"/>
    </row>
    <row r="54" spans="1:19" s="17" customFormat="1" x14ac:dyDescent="0.25">
      <c r="A54" s="62" t="s">
        <v>42</v>
      </c>
      <c r="B54" s="110">
        <f>($B$155+$B$35)/12</f>
        <v>0</v>
      </c>
      <c r="C54" s="110">
        <f>($B$155+$B$35)/12+($C$155+$C$35)/11</f>
        <v>0</v>
      </c>
      <c r="D54" s="110">
        <f>($B$155+$B$35)/12+($C$35+$C$155)/11+($D$35+$D$155)/10</f>
        <v>0</v>
      </c>
      <c r="E54" s="110">
        <f>($B$155+$B$35)/12+($C$35+$C$155)/11+($D$35+$D$155)/10+($E$35+$E$155)/9</f>
        <v>0</v>
      </c>
      <c r="F54" s="110">
        <f>($B$155+$B$35)/12+($C$35+$C$155)/11+($D$35+$D$155)/10+($E$35+$E$155)/9+($F$35+$F$155)/8</f>
        <v>0</v>
      </c>
      <c r="G54" s="110">
        <f>($B$155+$B$35)/12+($C$35+$C$155)/11+($D$35+$D$155)/10+($E$35+$E$155)/9+($F$35+$F$155)/8+($G$35+$G$155)/7</f>
        <v>0</v>
      </c>
      <c r="H54" s="110">
        <f>($B$155+$B$35)/12+($C$35+$C$155)/11+($D$35+$D$155)/10+($E$35+$E$155)/9+($F$35+$F$155)/8+($G$35+$G$155)/7+($H$35+$H$155)/6</f>
        <v>0</v>
      </c>
      <c r="I54" s="110">
        <f>($B$155+$B$35)/12+($C$35+$C$155)/11+($D$35+$D$155)/10+($E$35+$E$155)/9+($F$35+$F$155)/8+($G$35+$G$155)/7+($H$35+$H$155)/6+($I$35+$I$155)/5</f>
        <v>0</v>
      </c>
      <c r="J54" s="110">
        <f>($B$155+$B$35)/12+($C$35+$C$155)/11+($D$35+$D$155)/10+($E$35+$E$155)/9+($F$35+$F$155)/8+($G$35+$G$155)/7+($H$35+$H$155)/6+($I$35+$I$155)/5+($J$35+$J$155)/4</f>
        <v>0</v>
      </c>
      <c r="K54" s="110">
        <f>($B$155+$B$35)/12+($C$35+$C$155)/11+($D$35+$D$155)/10+($E$35+$E$155)/9+($F$35+$F$155)/8+($G$35+$G$155)/7+($H$35+$H$155)/6+($I$35+$I$155)/5+($J$35+$J$155)/4+($K$35+$K$155)/3</f>
        <v>0</v>
      </c>
      <c r="L54" s="110">
        <f>($B$155+$B$35)/12+($C$35+$C$155)/11+($D$35+$D$155)/10+($E$35+$E$155)/9+($F$35+$F$155)/8+($G$35+$G$155)/7+($H$35+$H$155)/6+($I$35+$I$155)/5+($J$35+$J$155)/4+($K$35+$K$155)/3+(L$35+$L$155)/2</f>
        <v>0</v>
      </c>
      <c r="M54" s="110">
        <f>($B$155+$B$35)/12+($C$35+$C$155)/11+($D$35+$D$155)/10+($E$35+$E$155)/9+($F$35+$F$155)/8+($G$35+$G$155)/7+($H$35+$H$155)/6+($I$35+$I$155)/5+($J$35+$J$155)/4+($K$35+$K$155)/3+(L$35+$L$155)/2+($M$35+$M$155)</f>
        <v>0</v>
      </c>
      <c r="N54" s="16"/>
      <c r="O54" s="52"/>
      <c r="P54" s="53"/>
      <c r="Q54" s="16"/>
      <c r="R54" s="16"/>
      <c r="S54" s="16"/>
    </row>
    <row r="55" spans="1:19" ht="15.75" customHeight="1" x14ac:dyDescent="0.25">
      <c r="A55" s="62" t="s">
        <v>35</v>
      </c>
      <c r="B55" s="110">
        <f>$B$36/12</f>
        <v>0</v>
      </c>
      <c r="C55" s="110">
        <f>$B$36/12+$C$36/11</f>
        <v>0</v>
      </c>
      <c r="D55" s="110">
        <f>$B$36/12+$C$36/11+$D$36/10</f>
        <v>0</v>
      </c>
      <c r="E55" s="110">
        <f>$B$36/12+$C$36/11+$D$36/10+$E$36/9</f>
        <v>0</v>
      </c>
      <c r="F55" s="110">
        <f>$B$36/12+$C$36/11+$D$36/10+$E$36/9+$F$36/8</f>
        <v>0</v>
      </c>
      <c r="G55" s="110">
        <f>$B$36/12+$C$36/11+$D$36/10+$E$36/9+$F$36/8+$G$36/7</f>
        <v>0</v>
      </c>
      <c r="H55" s="110">
        <f>$B$36/12+$C$36/11+$D$36/10+$E$36/9+$F$36/8+$G$36/7+$H$36/6</f>
        <v>0</v>
      </c>
      <c r="I55" s="110">
        <f>$B$36/12+$C$36/11+$D$36/10+$E$36/9+$F$36/8+$G$36/7+$H$36/6+$I$36/5</f>
        <v>0</v>
      </c>
      <c r="J55" s="110">
        <f>$B$36/12+$C$36/11+$D$36/10+$E$36/9+$F$36/8+$G$36/7+$H$36/6+$I$36/5+$J$36/4</f>
        <v>0</v>
      </c>
      <c r="K55" s="110">
        <f>$B$36/12+$C$36/11+$D$36/10+$E$36/9+$F$36/8+$G$36/7+$H$36/6+$I$36/5+$J$36/4+$K$36/3</f>
        <v>0</v>
      </c>
      <c r="L55" s="110">
        <f>$B$36/12+$C$36/11+$D$36/10+$E$36/9+$F$36/8+$G$36/7+$H$36/6+$I$36/5+$J$36/4+$K$36/3+$L$36/2</f>
        <v>0</v>
      </c>
      <c r="M55" s="110">
        <f>$B$36/12+$C$36/11+$D$36/10+$E$36/9+$F$36/8+$G$36/7+$H$36/6+$I$36/5+$J$36/4+$K$36/3+$L$36/2+$M$36</f>
        <v>0</v>
      </c>
      <c r="N55" s="5"/>
      <c r="O55" s="10"/>
      <c r="P55" s="14"/>
      <c r="Q55" s="5"/>
      <c r="R55" s="5"/>
      <c r="S55" s="5"/>
    </row>
    <row r="56" spans="1:19" x14ac:dyDescent="0.25">
      <c r="A56" s="30" t="s">
        <v>44</v>
      </c>
      <c r="B56" s="112">
        <f t="shared" ref="B56:M56" si="10">SUM(B47:B55)</f>
        <v>0</v>
      </c>
      <c r="C56" s="112">
        <f t="shared" si="10"/>
        <v>0</v>
      </c>
      <c r="D56" s="112">
        <f t="shared" si="10"/>
        <v>0</v>
      </c>
      <c r="E56" s="112">
        <f t="shared" si="10"/>
        <v>0</v>
      </c>
      <c r="F56" s="112">
        <f t="shared" si="10"/>
        <v>0</v>
      </c>
      <c r="G56" s="112">
        <f t="shared" si="10"/>
        <v>0</v>
      </c>
      <c r="H56" s="112">
        <f t="shared" si="10"/>
        <v>0</v>
      </c>
      <c r="I56" s="112">
        <f t="shared" si="10"/>
        <v>0</v>
      </c>
      <c r="J56" s="112">
        <f t="shared" si="10"/>
        <v>0</v>
      </c>
      <c r="K56" s="112">
        <f t="shared" si="10"/>
        <v>0</v>
      </c>
      <c r="L56" s="112">
        <f t="shared" si="10"/>
        <v>0</v>
      </c>
      <c r="M56" s="112">
        <f t="shared" si="10"/>
        <v>0</v>
      </c>
      <c r="N56" s="5"/>
      <c r="O56" s="10"/>
      <c r="P56" s="14"/>
      <c r="Q56" s="5"/>
      <c r="R56" s="5"/>
      <c r="S56" s="5"/>
    </row>
    <row r="57" spans="1:19" x14ac:dyDescent="0.25">
      <c r="A57" s="58" t="s">
        <v>45</v>
      </c>
      <c r="B57" s="97">
        <f>IF($B$42&gt;280792,$B$56/12,0)</f>
        <v>0</v>
      </c>
      <c r="C57" s="97">
        <f>IF(C42&gt;280792,C56/12,0)</f>
        <v>0</v>
      </c>
      <c r="D57" s="97">
        <f>IF(D42&gt;280792,D56/12,0)</f>
        <v>0</v>
      </c>
      <c r="E57" s="97">
        <f>IF(E42&gt;280792,E56/12,0)</f>
        <v>0</v>
      </c>
      <c r="F57" s="97">
        <f>IF(F42&gt;280792,F56/12,0)</f>
        <v>0</v>
      </c>
      <c r="G57" s="113"/>
      <c r="H57" s="97">
        <f>IF(H42&gt;280792,H56/12,0)</f>
        <v>0</v>
      </c>
      <c r="I57" s="97">
        <f>IF(I42&gt;280792,I56/12,0)</f>
        <v>0</v>
      </c>
      <c r="J57" s="97">
        <f>IF(J42&gt;280792,J56/12,0)</f>
        <v>0</v>
      </c>
      <c r="K57" s="97">
        <f>IF(K42&gt;280792,K56/12,0)</f>
        <v>0</v>
      </c>
      <c r="L57" s="97">
        <f>IF(L42&gt;280792,L56/12,0)</f>
        <v>0</v>
      </c>
      <c r="M57" s="96"/>
      <c r="N57" s="5"/>
      <c r="O57" s="10"/>
      <c r="P57" s="14"/>
      <c r="Q57" s="5"/>
      <c r="R57" s="5"/>
      <c r="S57" s="5"/>
    </row>
    <row r="58" spans="1:19" x14ac:dyDescent="0.25">
      <c r="A58" s="32" t="s">
        <v>46</v>
      </c>
      <c r="B58" s="96"/>
      <c r="C58" s="96"/>
      <c r="D58" s="96"/>
      <c r="E58" s="96"/>
      <c r="F58" s="96"/>
      <c r="G58" s="97">
        <f>IF(G42&lt;=280792,IF(G15+G38&gt;140396, G15+G38-140396-SUM(B57:F57),IF(G15+G38&gt;0,0-SUM(B57:F57),0)),IF(G15+G38&gt;0,G15+G38-SUM(B57:F57),0))</f>
        <v>0</v>
      </c>
      <c r="H58" s="96"/>
      <c r="I58" s="96"/>
      <c r="J58" s="96"/>
      <c r="K58" s="96"/>
      <c r="L58" s="96"/>
      <c r="M58" s="110">
        <f>IF($M$42&lt;=280792,IF((M15+M38)&gt;140396, M15+M38-140396-SUM(H57:L57),0-SUM(H57:L57)),IF(M15+M38&gt;0,M15+M38-SUM(H57:L57),0))</f>
        <v>0</v>
      </c>
      <c r="N58" s="5"/>
      <c r="O58" s="10"/>
      <c r="P58" s="14"/>
      <c r="Q58" s="5"/>
      <c r="R58" s="5"/>
      <c r="S58" s="5"/>
    </row>
    <row r="59" spans="1:19" x14ac:dyDescent="0.25">
      <c r="A59" s="30" t="s">
        <v>47</v>
      </c>
      <c r="B59" s="112">
        <f>B56+B57+B58</f>
        <v>0</v>
      </c>
      <c r="C59" s="112">
        <f t="shared" ref="C59:M59" si="11">C56+C57+C58</f>
        <v>0</v>
      </c>
      <c r="D59" s="112">
        <f t="shared" si="11"/>
        <v>0</v>
      </c>
      <c r="E59" s="112">
        <f t="shared" si="11"/>
        <v>0</v>
      </c>
      <c r="F59" s="112">
        <f t="shared" si="11"/>
        <v>0</v>
      </c>
      <c r="G59" s="112">
        <f t="shared" si="11"/>
        <v>0</v>
      </c>
      <c r="H59" s="112">
        <f t="shared" si="11"/>
        <v>0</v>
      </c>
      <c r="I59" s="112">
        <f t="shared" si="11"/>
        <v>0</v>
      </c>
      <c r="J59" s="112">
        <f t="shared" si="11"/>
        <v>0</v>
      </c>
      <c r="K59" s="112">
        <f t="shared" si="11"/>
        <v>0</v>
      </c>
      <c r="L59" s="112">
        <f t="shared" si="11"/>
        <v>0</v>
      </c>
      <c r="M59" s="112">
        <f t="shared" si="11"/>
        <v>0</v>
      </c>
      <c r="N59" s="5"/>
      <c r="O59" s="10"/>
      <c r="P59" s="14"/>
      <c r="Q59" s="5"/>
      <c r="R59" s="5"/>
      <c r="S59" s="5"/>
    </row>
    <row r="60" spans="1:19" x14ac:dyDescent="0.25">
      <c r="A60" s="64" t="s">
        <v>48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5"/>
      <c r="O60" s="10"/>
      <c r="P60" s="14"/>
      <c r="Q60" s="5"/>
      <c r="R60" s="5"/>
      <c r="S60" s="5"/>
    </row>
    <row r="61" spans="1:19" x14ac:dyDescent="0.25">
      <c r="A61" s="58" t="s">
        <v>25</v>
      </c>
      <c r="B61" s="132">
        <f>IF($B$16&gt;318103.83,(0), ($B$47+$B$49+$B$52+$B$54)*$C$158)</f>
        <v>0</v>
      </c>
      <c r="C61" s="132">
        <f>IF($B$16&gt;318103.83,(0),IF($C$16&gt;318103.83,(0),($C$47+$C$49+$C$52+$C$54)*$C$158))</f>
        <v>0</v>
      </c>
      <c r="D61" s="132">
        <f>IF($B$16&gt;318103.83,(0),IF($C$16&gt;318103.83,(0),IF($D$16&gt;357166.98,(0),($D$47+$D$49+$D$52+$D$54)*$C$158)))</f>
        <v>0</v>
      </c>
      <c r="E61" s="132">
        <f>IF($B$16&gt;318103.83,(0),IF($C$16&gt;318103.83,(0),IF($D$16&gt;357166.98,(0), IF($E$16&gt;357166.98,(0), ($E$47+$E$49+$E$52+$E$54)*$C$158))))</f>
        <v>0</v>
      </c>
      <c r="F61" s="132">
        <f>IF($B$16&gt;318103.83,(0),IF($C$16&gt;318103.83,(0),IF($D$16&gt;357166.98,(0),IF($E$16&gt;357166.98,(0),IF($F$16&gt;357166.98,(0),($F$47+$F$49+$F$52+$F$54)*$C$158)))))</f>
        <v>0</v>
      </c>
      <c r="G61" s="132">
        <f>IF($B$16&gt;318103.83,(0),IF($C$16&gt;318103.83,(0),IF($D$16&gt;357166.98,(0),IF($E$16&gt;357166.98,(0),IF($F$16&gt;357166.98,(0), IF($G$16&gt;616113.05,(0), ($G$47+$G$49+$G$52+$G$54)*$C$158))))))</f>
        <v>0</v>
      </c>
      <c r="H61" s="132">
        <f>IF($B$16&gt;318103.83,(0),IF($C$16&gt;318103.83,(0),IF($D$16&gt;357166.98,(0),IF($E$16&gt;357166.98,(0),IF($F$16&gt;357166.98,(0), IF($G$16&gt;616113.05,(0), IF($H$16&gt;410742.03,(0), ($H$47+$H$49+$H$52+$H$54)*$C$158)))))))</f>
        <v>0</v>
      </c>
      <c r="I61" s="132">
        <f>IF($B$16&gt;318103.83,(0),IF($C$16&gt;318103.83,(0),IF($D$16&gt;357166.98,(0),IF($E$16&gt;357166.98,(0),IF($F$16&gt;357166.98,(0), IF($G$16&gt;616113.05,(0), IF($H$16&gt;410742.03,(0), IF($I$16&gt;410742.03,(0), ($I$47+$I$49+$I$52+$I$54)*$C$158))))))))</f>
        <v>0</v>
      </c>
      <c r="J61" s="132">
        <f>IF($B$16&gt;318103.83,(0),IF($C$16&gt;318103.83,(0),IF($D$16&gt;357166.98,(0),IF($E$16&gt;357166.98,(0),IF($F$16&gt;357166.98,(0), IF($G$16&gt;616113.05,(0), IF($H$16&gt;410742.03,(0), IF($I$16&gt;410742.03,(0), IF($J$16&gt;410742.03,(0), ($J$47+$J$49+$J$52+$J$54)*$C$158)))))))))</f>
        <v>0</v>
      </c>
      <c r="K61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($K$47+$K$49+$K$52+$K$54)*$C$158))))))))))</f>
        <v>0</v>
      </c>
      <c r="L61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($L$47+$L$49+$L$52+$L$54)*$C$158)))))))))))</f>
        <v>0</v>
      </c>
      <c r="M61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IF($M$16&gt;616113.05,(0), ($M$47+$M$49+$M$52+$M$54)*$C$158))))))))))))</f>
        <v>0</v>
      </c>
      <c r="N61" s="5"/>
      <c r="O61" s="10"/>
      <c r="P61" s="14"/>
      <c r="Q61" s="5"/>
      <c r="R61" s="5"/>
      <c r="S61" s="5"/>
    </row>
    <row r="62" spans="1:19" x14ac:dyDescent="0.25">
      <c r="A62" s="58" t="s">
        <v>26</v>
      </c>
      <c r="B62" s="132">
        <f>IF($B$16&gt;318103.83,(0), ($B$47+$B$49+$B$52+$B$54)*$C$159)</f>
        <v>0</v>
      </c>
      <c r="C62" s="132">
        <f>IF($B$16&gt;318103.83,(0),IF($C$16&gt;318103.83,(0),($C$47+$C$49+$C$52+$C$54)*$C$159))</f>
        <v>0</v>
      </c>
      <c r="D62" s="132">
        <f>IF($B$16&gt;318103.83,(0),IF($C$16&gt;318103.83,(0),IF($D$16&gt;357166.98,(0),($D$47+$D$49+$D$52+$D$54)*$C$159)))</f>
        <v>0</v>
      </c>
      <c r="E62" s="132">
        <f>IF($B$16&gt;318103.83,(0),IF($C$16&gt;318103.83,(0),IF($D$16&gt;357166.98,(0), IF($E$16&gt;357166.98,(0), ($E$47+$E$49+$E$52+$E$54)*$C$159))))</f>
        <v>0</v>
      </c>
      <c r="F62" s="132">
        <f>IF($B$16&gt;318103.83,(0),IF($C$16&gt;318103.83,(0),IF($D$16&gt;357166.98,(0),IF($E$16&gt;357166.98,(0),IF($F$16&gt;357166.98,(0),($F$47+$F$49+$F$52+$F$54)*$C$159)))))</f>
        <v>0</v>
      </c>
      <c r="G62" s="132">
        <f>IF($B$16&gt;318103.83,(0),IF($C$16&gt;318103.83,(0),IF($D$16&gt;357166.98,(0),IF($E$16&gt;357166.98,(0),IF($F$16&gt;357166.98,(0), IF($G$16&gt;616113.05,(0), ($G$47+$G$49+$G$52+$G$54)*$C$159))))))</f>
        <v>0</v>
      </c>
      <c r="H62" s="132">
        <f>IF($B$16&gt;318103.83,(0),IF($C$16&gt;318103.83,(0),IF($D$16&gt;357166.98,(0),IF($E$16&gt;357166.98,(0),IF($F$16&gt;357166.98,(0), IF($G$16&gt;616113.05,(0), IF($H$16&gt;410742.03,(0), ($H$47+$H$49+$H$52+$H$54)*$C$159)))))))</f>
        <v>0</v>
      </c>
      <c r="I62" s="132">
        <f>IF($B$16&gt;318103.83,(0),IF($C$16&gt;318103.83,(0),IF($D$16&gt;357166.98,(0),IF($E$16&gt;357166.98,(0),IF($F$16&gt;357166.98,(0), IF($G$16&gt;616113.05,(0), IF($H$16&gt;410742.03,(0), IF($I$16&gt;410742.03,(0), ($I$47+$I$49+$I$52+$I$54)*$C$159))))))))</f>
        <v>0</v>
      </c>
      <c r="J62" s="132">
        <f>IF($B$16&gt;318103.83,(0),IF($C$16&gt;318103.83,(0),IF($D$16&gt;357166.98,(0),IF($E$16&gt;357166.98,(0),IF($F$16&gt;357166.98,(0), IF($G$16&gt;616113.05,(0), IF($H$16&gt;410742.03,(0), IF($I$16&gt;410742.03,(0), IF($J$16&gt;410742.03,(0), ($J$47+$J$49+$J$52+$J$54)*$C$159)))))))))</f>
        <v>0</v>
      </c>
      <c r="K62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($K$47+$K$49+$K$52+$K$54)*$C$159))))))))))</f>
        <v>0</v>
      </c>
      <c r="L62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($L$47+$L$49+$L$52+$L$54)*$C$159)))))))))))</f>
        <v>0</v>
      </c>
      <c r="M62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IF($M$16&gt;616113.05,(0), ($M$47+$M$49+$M$52+$M$54)*$C$159))))))))))))</f>
        <v>0</v>
      </c>
      <c r="N62" s="5"/>
      <c r="O62" s="10"/>
      <c r="P62" s="14"/>
      <c r="Q62" s="5"/>
      <c r="R62" s="5"/>
      <c r="S62" s="5"/>
    </row>
    <row r="63" spans="1:19" x14ac:dyDescent="0.25">
      <c r="A63" s="58" t="s">
        <v>27</v>
      </c>
      <c r="B63" s="132">
        <f>IF($B$16&gt;318103.83,(0), ($B$47+$B$49+$B$52+$B$54)*$C$160)</f>
        <v>0</v>
      </c>
      <c r="C63" s="132">
        <f>IF($B$16&gt;318103.83,(0),IF($C$16&gt;318103.83,(0),($C$47+$C$49+$C$52+$C$54)*$C$160))</f>
        <v>0</v>
      </c>
      <c r="D63" s="132">
        <f>IF($B$16&gt;318103.83,(0),IF($C$16&gt;318103.83,(0),IF($D$16&gt;357166.98,(0),($D$47+$D$49+$D$52+$D$54)*$C$160)))</f>
        <v>0</v>
      </c>
      <c r="E63" s="132">
        <f>IF($B$16&gt;318103.83,(0),IF($C$16&gt;318103.83,(0),IF($D$16&gt;357166.98,(0), IF($E$16&gt;357166.98,(0), ($E$47+$E$49+$E$52+$E$54)*$C$160))))</f>
        <v>0</v>
      </c>
      <c r="F63" s="132">
        <f>IF($B$16&gt;318103.83,(0),IF($C$16&gt;318103.83,(0),IF($D$16&gt;357166.98,(0),IF($E$16&gt;357166.98,(0),IF($F$16&gt;357166.98,(0),($F$47+$F$49+$F$52+$F$54)*$C$160)))))</f>
        <v>0</v>
      </c>
      <c r="G63" s="132">
        <f>IF($B$16&gt;318103.83,(0),IF($C$16&gt;318103.83,(0),IF($D$16&gt;357166.98,(0),IF($E$16&gt;357166.98,(0),IF($F$16&gt;357166.98,(0), IF($G$16&gt;616113.05,(0), ($G$47+$G$49+$G$52+$G$54)*$C$160))))))</f>
        <v>0</v>
      </c>
      <c r="H63" s="132">
        <f>IF($B$16&gt;318103.83,(0),IF($C$16&gt;318103.83,(0),IF($D$16&gt;357166.98,(0),IF($E$16&gt;357166.98,(0),IF($F$16&gt;357166.98,(0), IF($G$16&gt;616113.05,(0), IF($H$16&gt;410742.03,(0), ($H$47+$H$49+$H$52+$H$54)*$C$160)))))))</f>
        <v>0</v>
      </c>
      <c r="I63" s="132">
        <f>IF($B$16&gt;318103.83,(0),IF($C$16&gt;318103.83,(0),IF($D$16&gt;357166.98,(0),IF($E$16&gt;357166.98,(0),IF($F$16&gt;357166.98,(0), IF($G$16&gt;616113.05,(0), IF($H$16&gt;410742.03,(0), IF($I$16&gt;410742.03,(0), ($I$47+$I$49+$I$52+$I$54)*$C$160))))))))</f>
        <v>0</v>
      </c>
      <c r="J63" s="132">
        <f>IF($B$16&gt;318103.83,(0),IF($C$16&gt;318103.83,(0),IF($D$16&gt;357166.98,(0),IF($E$16&gt;357166.98,(0),IF($F$16&gt;357166.98,(0), IF($G$16&gt;616113.05,(0), IF($H$16&gt;410742.03,(0), IF($I$16&gt;410742.03,(0), IF($J$16&gt;410742.03,(0), ($J$47+$J$49+$J$52+$J$54)*$C$160)))))))))</f>
        <v>0</v>
      </c>
      <c r="K63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($K$47+$K$49+$K$52+$K$54)*$C$160))))))))))</f>
        <v>0</v>
      </c>
      <c r="L63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($L$47+$L$49+$L$52+$L$54)*$C$160)))))))))))</f>
        <v>0</v>
      </c>
      <c r="M63" s="132">
        <f>IF($B$16&gt;318103.83,(0),IF($C$16&gt;318103.83,(0),IF($D$16&gt;357166.98,(0),IF($E$16&gt;357166.98,(0),IF($F$16&gt;357166.98,(0), IF($G$16&gt;616113.05,(0), IF($H$16&gt;410742.03,(0), IF($I$16&gt;410742.03,(0), IF($J$16&gt;410742.03,(0), IF($K$16&gt;410742.03,(0), IF($L$16&gt;410742.03,(0), IF($M$16&gt;616113.05,(0), ($M$47+$M$49+$M$52+$M$54)*$C$160))))))))))))</f>
        <v>0</v>
      </c>
      <c r="N63" s="5"/>
      <c r="O63" s="10"/>
      <c r="P63" s="14"/>
      <c r="Q63" s="5"/>
      <c r="R63" s="5"/>
      <c r="S63" s="5"/>
    </row>
    <row r="64" spans="1:19" x14ac:dyDescent="0.25">
      <c r="A64" s="58" t="s">
        <v>28</v>
      </c>
      <c r="B64" s="114">
        <f>+$B$23</f>
        <v>0</v>
      </c>
      <c r="C64" s="114">
        <f>+$C$23</f>
        <v>0</v>
      </c>
      <c r="D64" s="110">
        <f>+$D$23</f>
        <v>0</v>
      </c>
      <c r="E64" s="114">
        <f>+$E$23</f>
        <v>0</v>
      </c>
      <c r="F64" s="114">
        <f>+$F$23</f>
        <v>0</v>
      </c>
      <c r="G64" s="114">
        <f>+$G$23</f>
        <v>0</v>
      </c>
      <c r="H64" s="114">
        <f>+$H$23</f>
        <v>0</v>
      </c>
      <c r="I64" s="114">
        <f>+$I$23</f>
        <v>0</v>
      </c>
      <c r="J64" s="114">
        <f>+$J$23</f>
        <v>0</v>
      </c>
      <c r="K64" s="114">
        <f>+$K$23</f>
        <v>0</v>
      </c>
      <c r="L64" s="114">
        <f>+$L$23</f>
        <v>0</v>
      </c>
      <c r="M64" s="114">
        <f>+$M$23</f>
        <v>0</v>
      </c>
      <c r="N64" s="5"/>
      <c r="O64" s="10"/>
      <c r="P64" s="14"/>
      <c r="Q64" s="5"/>
      <c r="R64" s="5"/>
      <c r="S64" s="5"/>
    </row>
    <row r="65" spans="1:19" s="17" customFormat="1" x14ac:dyDescent="0.25">
      <c r="A65" s="61" t="s">
        <v>49</v>
      </c>
      <c r="B65" s="97">
        <f>IF($B$124&gt;20000,20000,$B$124)</f>
        <v>0</v>
      </c>
      <c r="C65" s="97">
        <f>IF(SUM($B$124:$C$124)&gt;20000,(20000-$B$65),$C$124)</f>
        <v>0</v>
      </c>
      <c r="D65" s="97">
        <f>IF(SUM($B$124:$D$124)&gt;20000,(20000-$B$65-$C$65),$D$124)</f>
        <v>0</v>
      </c>
      <c r="E65" s="97">
        <f>IF(SUM($B$124:$E$124)&gt;20000,(20000-$B$65-$C$65-$D$65),$E$124)</f>
        <v>0</v>
      </c>
      <c r="F65" s="97">
        <f>IF(SUM($B$124:$F$124)&gt;20000,(20000-$B$65-$C$65-$D$65-$E$65),$F$124)</f>
        <v>0</v>
      </c>
      <c r="G65" s="97">
        <f>IF(SUM($B$124:$G$124)&gt;20000,(20000-$B$65-$C$65-$D$65-$E$65-$F$65),$G$124)</f>
        <v>0</v>
      </c>
      <c r="H65" s="97">
        <f>IF(SUM($B$124:$H$124)&gt;20000,(20000-$B$65-$C$65-$D$65-$E$65-$F$65-$G$65),$H$124)</f>
        <v>0</v>
      </c>
      <c r="I65" s="97">
        <f>IF(SUM($B$124:$I$124)&gt;20000,(20000-$B$65-$C$65-$D$65-$E$65-$F$65-$G$65-$H$65),$I$124)</f>
        <v>0</v>
      </c>
      <c r="J65" s="97">
        <f>IF(SUM($B$124:$J$124)&gt;20000,(20000-$B$65-$C$65-$D$65-$E$65-$F$65-$G$65-$H$65-$I$65),$J$124)</f>
        <v>0</v>
      </c>
      <c r="K65" s="97">
        <f>IF(SUM($B$124:$K$124)&gt;20000,(20000-$B$65-$C$65-$D$65-$E$65-$F$65-$G$65-$H$65-$I$65-$J$65),$K$124)</f>
        <v>0</v>
      </c>
      <c r="L65" s="97">
        <f>IF(SUM($B$124:$L$124)&gt;20000,(20000-$B$65-$C$65-$D$65-$E$65-$F$65-$G$65-$H$65-$I$65-$J$65-$K$65),$L$124)</f>
        <v>0</v>
      </c>
      <c r="M65" s="97">
        <f>IF(SUM($B$124:$M$124)&gt;20000,(20000-$B$65-$C$65-$D$65-$E$65-$F$65-$G$65-$H$65-$I$65-$J$65-$K$65-$L$65),$M$124)</f>
        <v>0</v>
      </c>
      <c r="N65" s="16"/>
      <c r="O65" s="52"/>
      <c r="P65" s="53"/>
      <c r="Q65" s="16"/>
      <c r="R65" s="16"/>
      <c r="S65" s="16"/>
    </row>
    <row r="66" spans="1:19" x14ac:dyDescent="0.25">
      <c r="A66" s="61" t="s">
        <v>50</v>
      </c>
      <c r="B66" s="97">
        <f>IF($B$126&gt;$B$80,$B$80,$B$126)</f>
        <v>0</v>
      </c>
      <c r="C66" s="97">
        <f>IF(SUM($B$126:$C$126)&gt; $C$80, $C$80-$B$66,SUM($B$126:$C$126)-$B$66)</f>
        <v>0</v>
      </c>
      <c r="D66" s="97">
        <f>IF(SUM($B$126:$D$126)&gt; $D$80, $D$80-$B$66-$C$66,SUM($B$126:$D$126)-$B$66-$C$66)</f>
        <v>0</v>
      </c>
      <c r="E66" s="97">
        <f>IF(SUM($B$126:$E$126)&gt; $E$80, $E$80-$B$66-$C$66-$D$66,SUM($B$126:$E$126)-$B$66-$C$66-$D$66)</f>
        <v>0</v>
      </c>
      <c r="F66" s="97">
        <f>IF(SUM($B$126:$F$126)&gt; $F$80, $F$80-$B$66-$C$66-$D$66-$E$66,SUM($B$126:$F$126)-$B$66-$C$66-$D$66-$E$66)</f>
        <v>0</v>
      </c>
      <c r="G66" s="97">
        <f>IF(SUM($B$126:$G$126)&gt; $G$80, $G$80-$B$66-$C$66-$D$66-E$66-$F$66,SUM($B$126:$G$126)-$B$66-$C$66-$D$66-$E$66-$F$66)</f>
        <v>0</v>
      </c>
      <c r="H66" s="97">
        <f>IF(SUM($B$126:$H$126)&gt; $H$80, $H$80-$B$66-$C$66-$D$66-$E$66-$F$66-$G$66,SUM($B$126:$H$126)-$B$66-$C$66-$D$66-$E$66-$F$66-$G$66)</f>
        <v>0</v>
      </c>
      <c r="I66" s="97">
        <f>IF(SUM($B$126:$I$126)&gt; $I$80, $I$80-$B$66-$C$66-$D$66-$E$66-$F$66-$G$66-$H$66,SUM($B$126:$I$126)-$B$66-$C$66-$D$66-$E$66-$F$66-$G$66-$H$66)</f>
        <v>0</v>
      </c>
      <c r="J66" s="97">
        <f>IF(SUM($B$126:$J$126)&gt; $J$80, $J$80-$B$66-$C$66-$D$66-$E$66-$F$66-$G$66-$H$66-$I$66,SUM($B$126:$J$126)-$B$66-$C$66-$D$66-$E$66-$F$66-$G$66-$H$66-$I$66)</f>
        <v>0</v>
      </c>
      <c r="K66" s="97">
        <f>IF(SUM($B$126:$K$126)&gt; $K$80, $K$80-$B$66-$C$66-$D$66-$E$66-$F$66-$G$66-$H$66-$I$66-$J$66,SUM($B$126:$K$126)-$B$66-$C$66-$D$66-$E$66-$F$66-$G$66-$H$66-$I$66-$J$66)</f>
        <v>0</v>
      </c>
      <c r="L66" s="97">
        <f>IF(SUM($B$126:$L$126)&gt; $L$80, $L$80-$B$66-$C$66-$D$66-$E$66-$F$66-$G$66-H$66-$I$66-$J$66-$K$66,SUM($B$126:$L$126)-$B$66-$C$66-$D$66-$E$66-$F$66-$G$66-$H$66-$I$66-$J$66-$K$66)</f>
        <v>0</v>
      </c>
      <c r="M66" s="97">
        <f>IF(SUM($B$126:$M$126)&gt; $M$80, $M$80-$B$66-$C$66-$D$66-$E$66-$F$66-$G$66-$H$66-$I$66-$J$66-$K$66-$L$66,SUM($B$126:$M$126)-$B$66-$C$66-$D$66-$E$66-$F$66-$G$66-$H$66-$I$66-$J$66-$K$66-$L$66)</f>
        <v>0</v>
      </c>
      <c r="N66" s="5"/>
      <c r="O66" s="10"/>
      <c r="P66" s="14"/>
      <c r="Q66" s="5"/>
      <c r="R66" s="5"/>
      <c r="S66" s="5"/>
    </row>
    <row r="67" spans="1:19" x14ac:dyDescent="0.25">
      <c r="A67" s="61" t="s">
        <v>51</v>
      </c>
      <c r="B67" s="97">
        <f>IF($B$127&gt;$B$80,$B$80,$B$127)</f>
        <v>0</v>
      </c>
      <c r="C67" s="97">
        <f>IF(SUM($B$127:$C$127)&gt; $C$80, $C$80-$B$67,SUM($B$127:$C$127)-$B$67)</f>
        <v>0</v>
      </c>
      <c r="D67" s="97">
        <f>IF(SUM($B$127:$D$127)&gt; $D$80, $D$80-$B$67-$C$67,SUM($B$127:$D$127)-$B$67-$C$67)</f>
        <v>0</v>
      </c>
      <c r="E67" s="97">
        <f>IF(SUM($B$127:$E$127)&gt; $E$80, $E$80-$B$67-$C$67-$D$67,SUM($B$127:$E$127)-$B$67-$C$67-$D$67)</f>
        <v>0</v>
      </c>
      <c r="F67" s="97">
        <f>IF(SUM($B$127:$F$127)&gt; $F$80, $F$80-$B$67-$C$67-$D$67-$E$67,SUM($B$127:$F$127)-$B$67-$C$67-$D$67-$E$67)</f>
        <v>0</v>
      </c>
      <c r="G67" s="97">
        <f>IF(SUM($B$127:$G$127)&gt; $G$80, $G$80-$B$67-$C$67-$D$67-$E$67-$F$67,SUM($B$127:$G$127)-$B$67-$C$67-$D$67-$E$67-$F$67)</f>
        <v>0</v>
      </c>
      <c r="H67" s="97">
        <f>IF(SUM($B$127:$H$127)&gt; $H$80, $H$80-$B$67-$C$67-$D$67-$E$67-$F$67-$G$67,SUM($B$127:$H$127)-$B$67-$C$67-$D$67-$E$67-$F$67-$G$67)</f>
        <v>0</v>
      </c>
      <c r="I67" s="97">
        <f>IF(SUM($B$127:$I$127)&gt; $I$80, $I$80-$B$67-$C$67-$D$67-$E$67-$F$67-$G$67-$H$67,SUM($B$127:$I$127)-$B$67-$C$67-$D$67-$E$67-$F$67-$G$67-$H$67)</f>
        <v>0</v>
      </c>
      <c r="J67" s="97">
        <f>IF(SUM($B$127:$J$127)&gt; $J$80, $J$80-$B$67-$C$67-$D$67-$E$67-$F$67-$G$67-$H$67-$I$67,SUM($B$127:$J$127)-$B$67-$C$67-$D$67-$E$67-$F$67-$G$67-$H$67-$I$67)</f>
        <v>0</v>
      </c>
      <c r="K67" s="97">
        <f>IF(SUM($B$127:$K$127)&gt; $K$80, $K$80-$B$67-$C$67-$D$67-$E$67-$F$67-$G$67-$H$67-$I$67-$J$67,SUM($B$127:$K$127)-$B$67-$C$67-$D$67-$E$67-$F$67-$G$67-$H$67-$I$67-$J$67)</f>
        <v>0</v>
      </c>
      <c r="L67" s="97">
        <f>IF(SUM($B$127:$L$127)&gt; $L$80, $L$80-$B$67-$C$67-$D$67-$E$67-$F$67-$G$67-$H$67-$I$67-$J$67-$K$67,SUM($B$127:$L$127)-$B$67-$C$67-$D$67-$E$67-$F$67-$G$67-$H$67-$I$67-$J$67-$K$67)</f>
        <v>0</v>
      </c>
      <c r="M67" s="97">
        <f>IF(SUM($B$127:$M$127)&gt; $M$80, $M$80-$B$67-$C$67-$D$67-$E$67-$F$67-$G$67-$H$67-I$67-$J$67-$K$67-$L$67,SUM($B$127:$M$127)-$B$67-$C$67-$D$67-$E$67-$F$67-$G$67-$H$67-$I$67-$J$67-$K$67-$L$67)</f>
        <v>0</v>
      </c>
      <c r="N67" s="5"/>
      <c r="O67" s="10"/>
      <c r="P67" s="14"/>
      <c r="Q67" s="5"/>
      <c r="R67" s="5"/>
      <c r="S67" s="5"/>
    </row>
    <row r="68" spans="1:19" x14ac:dyDescent="0.25">
      <c r="A68" s="62" t="s">
        <v>52</v>
      </c>
      <c r="B68" s="97">
        <f>IF($B$128&gt;$B$129,$B$129,$B$128)</f>
        <v>0</v>
      </c>
      <c r="C68" s="97">
        <f>IF(SUM($B$128:$C$128)&gt; $C$129, $C$129-$B$68,SUM($B$128:$C$128)-$B$68)</f>
        <v>0</v>
      </c>
      <c r="D68" s="97">
        <f>IF(SUM($B$128:$D$128)&gt; $D$129, $D$129-$B$68-$C$68,SUM($B$128:$D$128)-$B$68-$C$68)</f>
        <v>0</v>
      </c>
      <c r="E68" s="97">
        <f>IF(SUM($B$128:$E$128)&gt; $E$129, $E$129-$B$68-$C$68-$D$68,SUM($B$128:$E$128)-$B$68-$C$68-$D$68)</f>
        <v>0</v>
      </c>
      <c r="F68" s="97">
        <f>IF(SUM($B$128:$F$128)&gt; $F$129, $F$129-$B$68-$C$68-$D$68-$E$68,SUM($B$128:$F$128)-$B$68-$C$68-$D$68-$E$68)</f>
        <v>0</v>
      </c>
      <c r="G68" s="97">
        <f>IF(SUM($B$128:$G$128)&gt; $G$129, $G$129-$B$68-$C$68-$D$68-$E$68-$F$68,SUM($B$128:$G$128)-$B$68-$C$68-$D$68-$E$68-$F$68)</f>
        <v>0</v>
      </c>
      <c r="H68" s="97">
        <f>IF(SUM($B$128:$H$128)&gt; $H$129, $H$129-$B$68-$C$68-$D$68-$E$68-$F$68-$G$68,SUM($B$128:$H$128)-$B$68-$C$68-$D$68-$E$68-$F$68-$G$68)</f>
        <v>0</v>
      </c>
      <c r="I68" s="97">
        <f>IF(SUM($B$128:$I$128)&gt; $I$129, $I$129-$B$68-$C$68-$D$68-$E$68-$F$68-$G$68-$H$68,SUM($B$128:$I$128)-$B$68-$C$68-$D$68-$E$68-$F$68-$G$68-$H$68)</f>
        <v>0</v>
      </c>
      <c r="J68" s="97">
        <f>IF(SUM($B$128:$J$128)&gt; $J$129, $J$129-$B$68-$C$68-$D$68-$E$68-$F$68-$G$68-$H$68-$I$68,SUM($B$128:$J$128)-$B$68-$C$68-$D$68-$E$68-$F$68-$G$68-$H$68-$I$68)</f>
        <v>0</v>
      </c>
      <c r="K68" s="97">
        <f>IF(SUM($B$128:$K$128)&gt; $K$129, $K$129-$B$68-$C$68-$D$68-$E$68-$F$68-$G$68-$H$68-$I$68-$J$68,SUM($B$128:$K$128)-$B$68-$C$68-$D$68-$E$68-$F$68-$G$68-$H$68-$I$68-$J$68)</f>
        <v>0</v>
      </c>
      <c r="L68" s="97">
        <f>IF(SUM($B$128:$L$128)&gt; $L$129, $L$129-$B$68-$C$68-$D$68-$E$68-$F$68-$G$68-$H$68-$I$68-$J$68-$K$68,SUM($B$128:$L$128)-$B$68-$C$68-$D$68-$E$68-$F$68-$G$68-$H$68-$I$68-$J$68-$K$68)</f>
        <v>0</v>
      </c>
      <c r="M68" s="97">
        <f>IF(SUM($B$128:$M$128)&gt; $M$129, $M$129-$B$68-$C$68-$D$68-$E$68-$F$68-$G$68-$H$68-$I$68-$J$68-$K$68-$L$68,SUM($B$128:$M$128)-$B$68-$C$68-$D$68-$E$68-$F$68-$G$68-$H$68-$I$68-$J$68-$K$68-$L$68)</f>
        <v>0</v>
      </c>
      <c r="N68" s="5"/>
      <c r="O68" s="10"/>
      <c r="P68" s="14"/>
      <c r="Q68" s="5"/>
      <c r="R68" s="5"/>
      <c r="S68" s="5"/>
    </row>
    <row r="69" spans="1:19" x14ac:dyDescent="0.25">
      <c r="A69" s="62" t="s">
        <v>53</v>
      </c>
      <c r="B69" s="97">
        <f>IF($B$130&gt;$B$80,$B$80,$B$130)</f>
        <v>0</v>
      </c>
      <c r="C69" s="97">
        <f>IF(SUM($B$130:$C$130)&gt; $C$80, $C$80-$B$69,SUM($B$130:$C$130)-$B$69)</f>
        <v>0</v>
      </c>
      <c r="D69" s="97">
        <f>IF(SUM($B$130:$D$130)&gt; $D$80, $D$80-$B$69-$C$69,SUM($B$130:$D$130)-$B$69-$C$69)</f>
        <v>0</v>
      </c>
      <c r="E69" s="97">
        <f>IF(SUM($B$130:$E$130)&gt; $E$80, $E$80-$B$69-$C$69-$D$69,SUM($B$130:$E$130)-$B$69-$C$69-$D$69)</f>
        <v>0</v>
      </c>
      <c r="F69" s="97">
        <f>IF(SUM($B$130:$F$130)&gt; $F$80, $F$80-$B$69-$C$69-$D$69-$E$69,SUM($B$130:$F$130)-$B$69-$C$69-$D$69-$E$69)</f>
        <v>0</v>
      </c>
      <c r="G69" s="97">
        <f>IF(SUM($B$130:$G$130)&gt; $G$80, $G$80-$B$69-$C$69-$D$69-$E$69-$F$69,SUM($B$130:$G$130)-$B$69-$C$69-$D$69-$E$69-$F$69)</f>
        <v>0</v>
      </c>
      <c r="H69" s="97">
        <f>IF(SUM($B$130:$H$130)&gt; $H$80, $H$80-$B$69-$C$69-$D$69-$E$69-$F$69-$G$69,SUM($B$130:$H$130)-$B$69-$C$69-$D$69-$E$69-$F$69-$G$69)</f>
        <v>0</v>
      </c>
      <c r="I69" s="97">
        <f>IF(SUM($B$130:$I$130)&gt; $I$80, $I$80-$B$69-$C$69-$D$69-$E$69-$F$69-$G$69-$H$69,SUM($B$130:$I$130)-$B$69-$C$69-$D$69-$E$69-$F$69-$G$69-$H$69)</f>
        <v>0</v>
      </c>
      <c r="J69" s="97">
        <f>IF(SUM($B$130:$J$130)&gt; $J$80, $J$80-$B$69-$C$69-$D$69-$E$69-$F$69-$G$69-$H$69-$I$69,SUM($B$130:$J$130)-$B$69-$C$69-$D$69-$E$69-$F$69-$G$69-$H$69-$I$69)</f>
        <v>0</v>
      </c>
      <c r="K69" s="97">
        <f>IF(SUM($B$130:$K$130)&gt; $K$80, $K$80-$B$69-$C$69-$D$69-$E$69-$F$69-$G$69-$H$69-$I$69-$J$69,SUM($B$130:$K$130)-$B$69-$C$69-$D$69-$E$69-$F$69-$G$69-$H$69-$I$69-$J$69)</f>
        <v>0</v>
      </c>
      <c r="L69" s="97">
        <f>IF(SUM($B$130:$L$130)&gt; $L$80, $L$80-$B$69-$C$69-$D$69-$E$69-$F$69-$G$69-$H$69-$I$69-$J$69-$K$69,SUM($B$130:$L$130)-$B$69-$C$69-$D$69-$E$69-$F$69-$G$69-$H$69-$I$69-$J$69-$K$69)</f>
        <v>0</v>
      </c>
      <c r="M69" s="97">
        <f>IF(SUM($B$130:$M$130)&gt; $M$80, M$80-$B$69-$C$69-$D$69-$E$69-$F$69-$G$69-$H$69-$I$69-$J$69-$K$69-$L$69,SUM($B$130:$M$130)-$B$69-$C$69-$D$69-$E$69-$F$69-$G$69-$H$69-$I$69-$J$69-$K$69-$L$69)</f>
        <v>0</v>
      </c>
      <c r="N69" s="5"/>
      <c r="O69" s="10"/>
      <c r="P69" s="14"/>
      <c r="Q69" s="5"/>
      <c r="R69" s="5"/>
      <c r="S69" s="5"/>
    </row>
    <row r="70" spans="1:19" x14ac:dyDescent="0.25">
      <c r="A70" s="62" t="s">
        <v>54</v>
      </c>
      <c r="B70" s="95">
        <f>$B$131</f>
        <v>0</v>
      </c>
      <c r="C70" s="95">
        <f>$C$131</f>
        <v>0</v>
      </c>
      <c r="D70" s="95">
        <f>$D$131</f>
        <v>0</v>
      </c>
      <c r="E70" s="95">
        <f>$E$131</f>
        <v>0</v>
      </c>
      <c r="F70" s="95">
        <f>$F$131</f>
        <v>0</v>
      </c>
      <c r="G70" s="95">
        <f>$G$131</f>
        <v>0</v>
      </c>
      <c r="H70" s="95">
        <f>$H$131</f>
        <v>0</v>
      </c>
      <c r="I70" s="95">
        <f>$I$131</f>
        <v>0</v>
      </c>
      <c r="J70" s="95">
        <f>$J$131</f>
        <v>0</v>
      </c>
      <c r="K70" s="95">
        <f>$K$131</f>
        <v>0</v>
      </c>
      <c r="L70" s="95">
        <f>$L$131</f>
        <v>0</v>
      </c>
      <c r="M70" s="95">
        <f>$M$131</f>
        <v>0</v>
      </c>
      <c r="N70" s="5"/>
      <c r="O70" s="10"/>
      <c r="P70" s="14"/>
      <c r="Q70" s="5"/>
      <c r="R70" s="5"/>
      <c r="S70" s="5"/>
    </row>
    <row r="71" spans="1:19" x14ac:dyDescent="0.25">
      <c r="A71" s="62" t="s">
        <v>150</v>
      </c>
      <c r="B71" s="95">
        <f>IF($B$42&gt;280792, (B61+B62+B63+B64+B65+B66+B67+B68+B69+B70)/12,0)</f>
        <v>0</v>
      </c>
      <c r="C71" s="95">
        <f>IF($C$42&gt;280792,(C61+C62+C63+C64+C65+C66+C67+C68+C69+C70)/12,0)</f>
        <v>0</v>
      </c>
      <c r="D71" s="95">
        <f>IF($D$42&gt;280792,(D61+D62+D63+D64+D65+D66+D67+D68+D69+D70)/12,0)</f>
        <v>0</v>
      </c>
      <c r="E71" s="95">
        <f>IF($E$42&gt;280792,(E61+E62+E63+E64+E65+E66+E67+E68+E69+E70)/12,0)</f>
        <v>0</v>
      </c>
      <c r="F71" s="97">
        <f>IF($F$42&gt;280792,(F61+F62+F63+F64+F65+F66+F67+F68+F69+F70)/12,0)</f>
        <v>0</v>
      </c>
      <c r="G71" s="113"/>
      <c r="H71" s="97">
        <f>IF($H$42&gt;280792,(H61+H62+H63+H64+H65+H66+H67+H68+H69+H70)/12,0)</f>
        <v>0</v>
      </c>
      <c r="I71" s="97">
        <f>IF($I$42&gt;280792,(I61+I62+I63+I64+I65+I66+I67+I68+I69+I70)/12,0)</f>
        <v>0</v>
      </c>
      <c r="J71" s="97">
        <f>IF($J$42&gt;280792,(J61+J62+J63+J64+J65+J66+J67+J68+J69+J70)/12,0)</f>
        <v>0</v>
      </c>
      <c r="K71" s="97">
        <f>IF($K$42&gt;280792,(K61+K62+K63+K64+K65+K66+K67+K68+K69+K70)/12,0)</f>
        <v>0</v>
      </c>
      <c r="L71" s="97">
        <f>IF($L$42&gt;280792,(L61+L62+L63+L64+L65+L66+L67+L68+L69+L70)/12,0)</f>
        <v>0</v>
      </c>
      <c r="M71" s="96"/>
      <c r="N71" s="5"/>
      <c r="O71" s="10"/>
      <c r="P71" s="14"/>
      <c r="Q71" s="5"/>
      <c r="R71" s="5"/>
      <c r="S71" s="5"/>
    </row>
    <row r="72" spans="1:19" x14ac:dyDescent="0.25">
      <c r="A72" s="62" t="s">
        <v>151</v>
      </c>
      <c r="B72" s="96"/>
      <c r="C72" s="96"/>
      <c r="D72" s="96"/>
      <c r="E72" s="96"/>
      <c r="F72" s="96"/>
      <c r="G72" s="97">
        <f>+$G$58*($C$158+$C$159+$C$160)</f>
        <v>0</v>
      </c>
      <c r="H72" s="96"/>
      <c r="I72" s="96"/>
      <c r="J72" s="96"/>
      <c r="K72" s="96"/>
      <c r="L72" s="96"/>
      <c r="M72" s="97">
        <f>+$M$58*($C$158+$C$159+$C$160)</f>
        <v>0</v>
      </c>
      <c r="N72" s="5"/>
      <c r="O72" s="10"/>
      <c r="P72" s="14"/>
      <c r="Q72" s="5"/>
      <c r="R72" s="5"/>
      <c r="S72" s="5"/>
    </row>
    <row r="73" spans="1:19" x14ac:dyDescent="0.25">
      <c r="A73" s="30" t="s">
        <v>55</v>
      </c>
      <c r="B73" s="112">
        <f>SUM(B61:B72)</f>
        <v>0</v>
      </c>
      <c r="C73" s="112">
        <f t="shared" ref="C73:M73" si="12">SUM(C61:C72)</f>
        <v>0</v>
      </c>
      <c r="D73" s="112">
        <f t="shared" si="12"/>
        <v>0</v>
      </c>
      <c r="E73" s="112">
        <f t="shared" si="12"/>
        <v>0</v>
      </c>
      <c r="F73" s="112">
        <f t="shared" si="12"/>
        <v>0</v>
      </c>
      <c r="G73" s="112">
        <f t="shared" si="12"/>
        <v>0</v>
      </c>
      <c r="H73" s="112">
        <f t="shared" si="12"/>
        <v>0</v>
      </c>
      <c r="I73" s="112">
        <f t="shared" si="12"/>
        <v>0</v>
      </c>
      <c r="J73" s="112">
        <f t="shared" si="12"/>
        <v>0</v>
      </c>
      <c r="K73" s="112">
        <f t="shared" si="12"/>
        <v>0</v>
      </c>
      <c r="L73" s="112">
        <f t="shared" si="12"/>
        <v>0</v>
      </c>
      <c r="M73" s="112">
        <f t="shared" si="12"/>
        <v>0</v>
      </c>
      <c r="N73" s="5"/>
      <c r="O73" s="10"/>
      <c r="P73" s="14"/>
      <c r="Q73" s="5"/>
      <c r="R73" s="5"/>
      <c r="S73" s="5"/>
    </row>
    <row r="74" spans="1:19" x14ac:dyDescent="0.25">
      <c r="A74" s="36" t="s">
        <v>141</v>
      </c>
      <c r="B74" s="103">
        <f>$B$59-$B$73</f>
        <v>0</v>
      </c>
      <c r="C74" s="103">
        <f>$C$59-$C$73</f>
        <v>0</v>
      </c>
      <c r="D74" s="103">
        <f>$D$59-$D$73</f>
        <v>0</v>
      </c>
      <c r="E74" s="103">
        <f>$E$59-$E$73</f>
        <v>0</v>
      </c>
      <c r="F74" s="103">
        <f>$F$59-$F$73</f>
        <v>0</v>
      </c>
      <c r="G74" s="103">
        <f>$G$59-$G$73</f>
        <v>0</v>
      </c>
      <c r="H74" s="103">
        <f>$H$59-$H$73</f>
        <v>0</v>
      </c>
      <c r="I74" s="103">
        <f>$I$59-$I$73</f>
        <v>0</v>
      </c>
      <c r="J74" s="103">
        <f>$J$59-$J$73</f>
        <v>0</v>
      </c>
      <c r="K74" s="103">
        <f>$K$59-$K$73</f>
        <v>0</v>
      </c>
      <c r="L74" s="103">
        <f>$L$59-$L$73</f>
        <v>0</v>
      </c>
      <c r="M74" s="103">
        <f>$M$59-$M$73</f>
        <v>0</v>
      </c>
      <c r="N74" s="5"/>
      <c r="O74" s="10"/>
      <c r="P74" s="14"/>
      <c r="Q74" s="5"/>
      <c r="R74" s="5"/>
      <c r="S74" s="5"/>
    </row>
    <row r="75" spans="1:19" x14ac:dyDescent="0.25">
      <c r="A75" s="34" t="s">
        <v>142</v>
      </c>
      <c r="B75" s="115">
        <f>+$B$74</f>
        <v>0</v>
      </c>
      <c r="C75" s="115">
        <f>+$C$74+$B$75</f>
        <v>0</v>
      </c>
      <c r="D75" s="115">
        <f>+$D$74+$C$75</f>
        <v>0</v>
      </c>
      <c r="E75" s="115">
        <f>+$E$74+$D$75</f>
        <v>0</v>
      </c>
      <c r="F75" s="115">
        <f>+$F$74+$E$75</f>
        <v>0</v>
      </c>
      <c r="G75" s="115">
        <f>+$G$74+$F$75</f>
        <v>0</v>
      </c>
      <c r="H75" s="115">
        <f>+$H$74+$G$75</f>
        <v>0</v>
      </c>
      <c r="I75" s="115">
        <f>+$I$74+$H$75</f>
        <v>0</v>
      </c>
      <c r="J75" s="115">
        <f>+$J$74+$I$75</f>
        <v>0</v>
      </c>
      <c r="K75" s="115">
        <f>+$K$74+$J$75</f>
        <v>0</v>
      </c>
      <c r="L75" s="115">
        <f>+$L$74+$K$75</f>
        <v>0</v>
      </c>
      <c r="M75" s="115">
        <f>+$M$74+$L$75</f>
        <v>0</v>
      </c>
      <c r="N75" s="15"/>
      <c r="O75" s="5"/>
      <c r="P75" s="5"/>
      <c r="Q75" s="5"/>
      <c r="R75" s="5"/>
      <c r="S75" s="5"/>
    </row>
    <row r="76" spans="1:19" s="17" customFormat="1" x14ac:dyDescent="0.25">
      <c r="A76" s="67" t="s">
        <v>56</v>
      </c>
      <c r="B76" s="100">
        <f>IF(($B$75*0.05)&gt;$B$132,$B$132,($B$75*0.05))</f>
        <v>0</v>
      </c>
      <c r="C76" s="100">
        <f>IF(SUM($B$132:$C$132)&gt;$C$139,$C$139-$B$76,SUM($B$132:$C$132)-$B$76)</f>
        <v>0</v>
      </c>
      <c r="D76" s="94">
        <f>IF(SUM($B$132:$D$132)&gt;$D$139,$D$139-$B$76-$C$76,SUM($B$132:$D$132)-$B$76-$C$76)</f>
        <v>0</v>
      </c>
      <c r="E76" s="94">
        <f>IF(SUM($B$132:$E$132)&gt;$E$139,$E$139-$B$76-$C$76-$D$76,SUM($B$132:$E$132)-$B$76-$C$76-$D$76)</f>
        <v>0</v>
      </c>
      <c r="F76" s="94">
        <f>IF(SUM($B$132:$F$132)&gt;$F$139,$F$139-$B$76-$C$76-$D$76-$E$76,SUM($B$132:$F$132)-$B$76-$C$76-$D$76-$E$76)</f>
        <v>0</v>
      </c>
      <c r="G76" s="94">
        <f>IF(SUM($B$132:$G$132)&gt;$G$139,$G$139-$B$76-$C$76-$D$76-$E$76-$F$76,SUM($B$132:$G$132)-$B$76-$C$76-$D$76-$E$76-$F$76)</f>
        <v>0</v>
      </c>
      <c r="H76" s="94">
        <f>IF(SUM($B$132:$H$132)&gt;$H$139,$H$139-$B$76-$C$76-$D$76-$E$76-$F$76-$G$76,SUM($B$132:$H$132)-$B$76-$C$76-$D$76-$E$76-$F$76-$G$76)</f>
        <v>0</v>
      </c>
      <c r="I76" s="94">
        <f>IF(SUM($B$132:$I$132)&gt;$I$139,$I$139-$B$76-$C$76-$D$76-$E$76-$F$76-$G$76-$H$76,SUM($B$132:$I$132)-$B$76-$C$76-$D$76-$E$76-$F$76-$G$76-$H$76)</f>
        <v>0</v>
      </c>
      <c r="J76" s="94">
        <f>IF(SUM($B$132:$J$132)&gt;$J$139,$J$139-$B$76-$C$76-$D$76-$E$76-$F$76-$G$76-$H$76-$I$76,SUM($B$132:$J$132)-$B$76-$C$76-$D$76-$E$76-$F$76-$G$76-$H$76-$I$76)</f>
        <v>0</v>
      </c>
      <c r="K76" s="94">
        <f>IF(SUM($B$132:$K$132)&gt;$K$139,$K$139-$B$76-$C$76-$D$76-$E$76-$F$76-$G$76-$H$76-$I$76-$J$76,SUM($B$132:$K$132)-$B$76-$C$76-$D$76-$E$76-$F$76-$G$76-$H$76-$I$76-$J$76)</f>
        <v>0</v>
      </c>
      <c r="L76" s="94">
        <f>IF(SUM($B$132:$L$132)&gt;$L$139,$L$139-$B$76-$C$76-$D$76-$E$76-$F$76-$G$76-$H$76-$I$76-$J$76-$K$76,SUM($B$132:$L$132)-$B$76-$C$76-$D$76-$E$76-$F$76-$G$76-$H$76-$I$76-$J$76-$K$76)</f>
        <v>0</v>
      </c>
      <c r="M76" s="94">
        <f>IF(SUM($B$132:$M$132)&gt;$M$139,$M$139-$B$76-$C$76-$D$76-$E$76-$F$76-$G$76-$H$76-$I$76-$J$76-$K$76-$L$76,SUM($B$132:$M$132)-$B$76-$C$76-$D$76-$E$76-$F$76-$G$76-$H$76-$I$76-$J$76-$K$76-$L$76)</f>
        <v>0</v>
      </c>
      <c r="N76" s="15"/>
      <c r="O76" s="16"/>
      <c r="P76" s="16"/>
      <c r="Q76" s="16"/>
      <c r="R76" s="16"/>
      <c r="S76" s="16"/>
    </row>
    <row r="77" spans="1:19" s="17" customFormat="1" ht="15.75" customHeight="1" x14ac:dyDescent="0.25">
      <c r="A77" s="67" t="s">
        <v>57</v>
      </c>
      <c r="B77" s="100">
        <f>IF($B$139&gt;$B$133,$B$133,$B$139)</f>
        <v>0</v>
      </c>
      <c r="C77" s="94">
        <f>IF(SUM($B$133:$C$133)&gt;$C$139,$C$139-$B$77,SUM($B$133:$C$133)-$B$77)</f>
        <v>0</v>
      </c>
      <c r="D77" s="94">
        <f>IF(SUM($B$133:$D$133)&gt;$D$139,$D$139-$B$77-$C$77,SUM($B$133:$D$133)-$B$77-$C$77)</f>
        <v>0</v>
      </c>
      <c r="E77" s="94">
        <f>IF(SUM($B$133:$E$133)&gt;$E$139,$E$139-$B$77-$C$77-$D$77,SUM($B$133:$E$133)-$B$77-$C$77-$D$77)</f>
        <v>0</v>
      </c>
      <c r="F77" s="94">
        <f>IF(SUM($B$133:$F$133)&gt;$F$139,$F$139-$B$77-$C$77-$D$77-$E$77,SUM($B$133:$F$133)-$B$77-$C$77-$D$77-$E$77)</f>
        <v>0</v>
      </c>
      <c r="G77" s="94">
        <f>IF(SUM($B$133:$G$133)&gt;$G$139,$G$139-$B$77-$C$77-$D$77-$E$77-$F$77,SUM($B$133:$G$133)-$B$77-$C$77-$D$77-$E$77-$F$77)</f>
        <v>0</v>
      </c>
      <c r="H77" s="94">
        <f>IF(SUM($B$133:$H$133)&gt;$H$139,$H$139-$B$77-$C$77-$D$77-$E$77-$F$77-$G$77,SUM($B$133:$H$133)-$B$77-$C$77-$D$77-$E$77-$F$77-$G$77)</f>
        <v>0</v>
      </c>
      <c r="I77" s="94">
        <f>IF(SUM($B$133:$I$133)&gt;$I$139,$I$139-$B$77-$C$77-$D$77-$E$77-$F$77-$G$77-$H$77,SUM($B$133:$I$133)-$B$77-$C$77-$D$77-$E$77-$F$77-$G$77-$H$77)</f>
        <v>0</v>
      </c>
      <c r="J77" s="94">
        <f>IF(SUM($B$133:$J$133)&gt;$J$139,$J$139-$B$77-$C$77-$D$77-$E$77-$F$77-$G$77-$H$77-$I$77,SUM($B$133:$J$133)-$B$77-$C$77-$D$77-$E$77-$F$77-$G$77-$H$77-$I$77)</f>
        <v>0</v>
      </c>
      <c r="K77" s="94">
        <f>IF(SUM($B$133:$K$133)&gt;$K$139,$K$139-$B$77-$C$77-$D$77-$E$77-$F$77-$G$77-$H$77-$I$77-$J$77,SUM($B$133:$K$133)-$B$77-$C$77-$D$77-$E$77-$F$77-$G$77-$H$77-$I$77-$J$77)</f>
        <v>0</v>
      </c>
      <c r="L77" s="94">
        <f>IF(SUM($B$133:$L$133)&gt;$L$139,$L$139-$B$77-$C$77-$D$77-$E$77-$F$77-$G$77-$H$77-$I$77-$J$77-$K$77,SUM($B$133:$L$133)-$B$77-$C$77-$D$77-$E$77-$F$77-$G$77-$H$77-$I$77-$J$77-$K$77)</f>
        <v>0</v>
      </c>
      <c r="M77" s="94">
        <f>IF(SUM($B$133:$M$133)&gt;$M$139,$M$139-$B$77-$C$77-$D$77-$E$77-$F$77-$G$77-$H$77-$I$77-$J$77-$K$77-$L$77,SUM($B$133:$M$133)-$B$77-$C$77-$D$77-$E$77-$F$77-$G$77-$H$77-$I$77-$J$77-$K$77-$L$77)</f>
        <v>0</v>
      </c>
      <c r="N77" s="15"/>
      <c r="O77" s="16"/>
      <c r="P77" s="16"/>
      <c r="Q77" s="16"/>
      <c r="R77" s="16"/>
      <c r="S77" s="16"/>
    </row>
    <row r="78" spans="1:19" s="17" customFormat="1" ht="15.75" customHeight="1" x14ac:dyDescent="0.25">
      <c r="A78" s="72" t="s">
        <v>58</v>
      </c>
      <c r="B78" s="116">
        <f>SUM($B$76:$B$77)</f>
        <v>0</v>
      </c>
      <c r="C78" s="116">
        <f>SUM($C$76:$C$77)</f>
        <v>0</v>
      </c>
      <c r="D78" s="116">
        <f>SUM($D$76:$D$77)</f>
        <v>0</v>
      </c>
      <c r="E78" s="116">
        <f>SUM($E$76:$E$77)</f>
        <v>0</v>
      </c>
      <c r="F78" s="116">
        <f>SUM($F$76:$F$77)</f>
        <v>0</v>
      </c>
      <c r="G78" s="116">
        <f>SUM($G$76:$G$77)</f>
        <v>0</v>
      </c>
      <c r="H78" s="116">
        <f>SUM($H$76:$H$77)</f>
        <v>0</v>
      </c>
      <c r="I78" s="116">
        <f>SUM($I$76:$I$77)</f>
        <v>0</v>
      </c>
      <c r="J78" s="116">
        <f>SUM($J$76:$J$77)</f>
        <v>0</v>
      </c>
      <c r="K78" s="116">
        <f>SUM($K$76:$K$77)</f>
        <v>0</v>
      </c>
      <c r="L78" s="116">
        <f>SUM($L$76:$L$77)</f>
        <v>0</v>
      </c>
      <c r="M78" s="116">
        <f>SUM($M$76:$M$77)</f>
        <v>0</v>
      </c>
      <c r="N78" s="15"/>
      <c r="O78" s="16"/>
      <c r="P78" s="16"/>
      <c r="Q78" s="16"/>
      <c r="R78" s="16"/>
      <c r="S78" s="16"/>
    </row>
    <row r="79" spans="1:19" x14ac:dyDescent="0.25">
      <c r="A79" s="30" t="s">
        <v>59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5"/>
      <c r="O79" s="10"/>
      <c r="P79" s="14"/>
      <c r="Q79" s="5"/>
      <c r="R79" s="5"/>
      <c r="S79" s="5"/>
    </row>
    <row r="80" spans="1:19" x14ac:dyDescent="0.25">
      <c r="A80" s="9" t="s">
        <v>60</v>
      </c>
      <c r="B80" s="140">
        <v>21047.07</v>
      </c>
      <c r="C80" s="140">
        <v>42094.14</v>
      </c>
      <c r="D80" s="100">
        <v>63141.21</v>
      </c>
      <c r="E80" s="100">
        <v>84188.28</v>
      </c>
      <c r="F80" s="100">
        <v>105235.35</v>
      </c>
      <c r="G80" s="100">
        <v>126282.42</v>
      </c>
      <c r="H80" s="100">
        <v>147329.49</v>
      </c>
      <c r="I80" s="100">
        <v>168376.56</v>
      </c>
      <c r="J80" s="100">
        <v>189423.63</v>
      </c>
      <c r="K80" s="100">
        <v>210470.7</v>
      </c>
      <c r="L80" s="100">
        <v>231517.77</v>
      </c>
      <c r="M80" s="100">
        <v>252564.84</v>
      </c>
      <c r="N80" s="5"/>
      <c r="O80" s="5"/>
      <c r="P80" s="5"/>
      <c r="Q80" s="5"/>
      <c r="R80" s="5"/>
      <c r="S80" s="5"/>
    </row>
    <row r="81" spans="1:19" x14ac:dyDescent="0.25">
      <c r="A81" s="9" t="s">
        <v>61</v>
      </c>
      <c r="B81" s="100">
        <f>$D$102*$B$119</f>
        <v>0</v>
      </c>
      <c r="C81" s="100">
        <f>$D$102*$C$119</f>
        <v>0</v>
      </c>
      <c r="D81" s="100">
        <f>$D$102*$D$119</f>
        <v>0</v>
      </c>
      <c r="E81" s="100">
        <f>$D$102*$E$119</f>
        <v>0</v>
      </c>
      <c r="F81" s="100">
        <f>$D$102*$F$119</f>
        <v>0</v>
      </c>
      <c r="G81" s="100">
        <f>$D$102*$G$119</f>
        <v>0</v>
      </c>
      <c r="H81" s="100">
        <f>$D$102*$H$119</f>
        <v>0</v>
      </c>
      <c r="I81" s="100">
        <f>$D$102*$I$119</f>
        <v>0</v>
      </c>
      <c r="J81" s="100">
        <f>$D$102*$J$119</f>
        <v>0</v>
      </c>
      <c r="K81" s="100">
        <f>$D$102*$K$119</f>
        <v>0</v>
      </c>
      <c r="L81" s="100">
        <f>$D$102*$L$119</f>
        <v>0</v>
      </c>
      <c r="M81" s="100">
        <f>$D$102*$M$119</f>
        <v>0</v>
      </c>
      <c r="N81" s="5"/>
      <c r="O81" s="5"/>
      <c r="P81" s="5"/>
      <c r="Q81" s="5"/>
      <c r="R81" s="5"/>
      <c r="S81" s="5"/>
    </row>
    <row r="82" spans="1:19" x14ac:dyDescent="0.25">
      <c r="A82" s="9" t="s">
        <v>62</v>
      </c>
      <c r="B82" s="100">
        <f>$E$103*$B$120</f>
        <v>0</v>
      </c>
      <c r="C82" s="100">
        <f>$E$103*$C$120</f>
        <v>0</v>
      </c>
      <c r="D82" s="100">
        <f>$E$103*$D$120</f>
        <v>0</v>
      </c>
      <c r="E82" s="100">
        <f>$E$103*$E$120</f>
        <v>0</v>
      </c>
      <c r="F82" s="100">
        <f>$E$103*$F$120</f>
        <v>0</v>
      </c>
      <c r="G82" s="100">
        <f>$E$103*$G$120</f>
        <v>0</v>
      </c>
      <c r="H82" s="100">
        <f>$E$103*$H$120</f>
        <v>0</v>
      </c>
      <c r="I82" s="100">
        <f>$E$103*$I$120</f>
        <v>0</v>
      </c>
      <c r="J82" s="100">
        <f>$E$103*$J$120</f>
        <v>0</v>
      </c>
      <c r="K82" s="100">
        <f>$E$103*$K$120</f>
        <v>0</v>
      </c>
      <c r="L82" s="100">
        <f>$E$103*$L$120</f>
        <v>0</v>
      </c>
      <c r="M82" s="100">
        <f>$E$103*$M$120</f>
        <v>0</v>
      </c>
      <c r="N82" s="5"/>
      <c r="O82" s="5"/>
      <c r="P82" s="5"/>
      <c r="Q82" s="5"/>
      <c r="R82" s="5"/>
      <c r="S82" s="5"/>
    </row>
    <row r="83" spans="1:19" x14ac:dyDescent="0.25">
      <c r="A83" s="9" t="s">
        <v>63</v>
      </c>
      <c r="B83" s="100">
        <f>$E$110*$B$121</f>
        <v>0</v>
      </c>
      <c r="C83" s="100">
        <f>$E$110*$C$121</f>
        <v>0</v>
      </c>
      <c r="D83" s="100">
        <f>$E$110*$D$121</f>
        <v>0</v>
      </c>
      <c r="E83" s="100">
        <f>$E$110*$E$121</f>
        <v>0</v>
      </c>
      <c r="F83" s="100">
        <f>$E$110*$F$121</f>
        <v>0</v>
      </c>
      <c r="G83" s="100">
        <f>$E$110*$G$121</f>
        <v>0</v>
      </c>
      <c r="H83" s="100">
        <f>$E$110*$H$121</f>
        <v>0</v>
      </c>
      <c r="I83" s="100">
        <f>$E$110*$I$121</f>
        <v>0</v>
      </c>
      <c r="J83" s="100">
        <f>$E$110*$J$121</f>
        <v>0</v>
      </c>
      <c r="K83" s="100">
        <f>$E$110*$K$121</f>
        <v>0</v>
      </c>
      <c r="L83" s="100">
        <f>$E$110*$L$121</f>
        <v>0</v>
      </c>
      <c r="M83" s="100">
        <f>$E$110*$M$121</f>
        <v>0</v>
      </c>
      <c r="N83" s="5"/>
      <c r="O83" s="5"/>
      <c r="P83" s="5"/>
      <c r="Q83" s="5"/>
      <c r="R83" s="5"/>
      <c r="S83" s="5"/>
    </row>
    <row r="84" spans="1:19" x14ac:dyDescent="0.25">
      <c r="A84" s="9" t="s">
        <v>64</v>
      </c>
      <c r="B84" s="100">
        <v>101025.94</v>
      </c>
      <c r="C84" s="100">
        <v>202051.87</v>
      </c>
      <c r="D84" s="100">
        <v>303077.81</v>
      </c>
      <c r="E84" s="100">
        <v>404103.75</v>
      </c>
      <c r="F84" s="100">
        <v>505129.68</v>
      </c>
      <c r="G84" s="100">
        <v>606155.62</v>
      </c>
      <c r="H84" s="100">
        <v>707181.56</v>
      </c>
      <c r="I84" s="100">
        <v>808207.49</v>
      </c>
      <c r="J84" s="100">
        <v>909233.43</v>
      </c>
      <c r="K84" s="100">
        <v>1010259.37</v>
      </c>
      <c r="L84" s="100">
        <v>1111285.3</v>
      </c>
      <c r="M84" s="100">
        <v>1212311.24</v>
      </c>
      <c r="N84" s="5"/>
      <c r="O84" s="5"/>
      <c r="P84" s="5"/>
      <c r="Q84" s="5"/>
      <c r="R84" s="5"/>
      <c r="S84" s="5"/>
    </row>
    <row r="85" spans="1:19" x14ac:dyDescent="0.25">
      <c r="A85" s="60" t="s">
        <v>65</v>
      </c>
      <c r="B85" s="144">
        <f>IF($B$44&gt;225937,0,IF($B$142&gt;0,$B$142,0))</f>
        <v>0</v>
      </c>
      <c r="C85" s="144">
        <f>IF($C$44&gt;225937,0,IF($C$142&gt;0,$C$142,0))</f>
        <v>0</v>
      </c>
      <c r="D85" s="144">
        <f>IF($D$44&gt;225937,0,IF($D$142&gt;0,$D$142,0))</f>
        <v>0</v>
      </c>
      <c r="E85" s="144">
        <f>IF($E$44&gt;225937,0,IF($E$142&gt;0,$E$142,0))</f>
        <v>0</v>
      </c>
      <c r="F85" s="144">
        <f>IF($F$44&gt;225937,0,IF($F$142&gt;0,$F$142,0))</f>
        <v>0</v>
      </c>
      <c r="G85" s="144">
        <f>IF($G$44&gt;280792,0,IF($G$142&gt;0,IF($G$58&lt;0,$G$142,$G$142-($G$58*$C$161)),0))</f>
        <v>0</v>
      </c>
      <c r="H85" s="144">
        <f>IF($H$44&gt;280792,0,IF($H$142&gt;0, $H$142,0))</f>
        <v>0</v>
      </c>
      <c r="I85" s="144">
        <f>IF($I$44&gt;280792,0,IF($I$142&gt;0, $I$142,0))</f>
        <v>0</v>
      </c>
      <c r="J85" s="144">
        <f>IF($J$44&gt;280792,0,IF($J$142&gt;0, $J$142,0))</f>
        <v>0</v>
      </c>
      <c r="K85" s="144">
        <f>IF($K$44&gt;280792,0,IF($K$142&gt;0,$K$142,0))</f>
        <v>0</v>
      </c>
      <c r="L85" s="144">
        <f>IF($L$44&gt;280792,0,IF($L$142&gt;0,$L$142,0))</f>
        <v>0</v>
      </c>
      <c r="M85" s="144">
        <f>IF($M$44&gt;280792,0,IF($M$142&gt;0,IF($M$58&lt;0,$M$142,$M$142-($M$58*$C$161)),0))</f>
        <v>0</v>
      </c>
      <c r="N85" s="5"/>
      <c r="O85" s="5"/>
      <c r="P85" s="5"/>
      <c r="Q85" s="5"/>
      <c r="R85" s="5"/>
      <c r="S85" s="5"/>
    </row>
    <row r="86" spans="1:19" x14ac:dyDescent="0.25">
      <c r="A86" s="68" t="s">
        <v>66</v>
      </c>
      <c r="B86" s="117">
        <f>$B$85</f>
        <v>0</v>
      </c>
      <c r="C86" s="117">
        <f>$B$86+$C$85</f>
        <v>0</v>
      </c>
      <c r="D86" s="117">
        <f>$C$86+$D$85</f>
        <v>0</v>
      </c>
      <c r="E86" s="117">
        <f>$D$86+$E$85</f>
        <v>0</v>
      </c>
      <c r="F86" s="117">
        <f>$E$86+$F$85</f>
        <v>0</v>
      </c>
      <c r="G86" s="117">
        <f>$F$86+$G$85</f>
        <v>0</v>
      </c>
      <c r="H86" s="117">
        <f>$G$86+$H$85</f>
        <v>0</v>
      </c>
      <c r="I86" s="117">
        <f>$H$86+$I$85</f>
        <v>0</v>
      </c>
      <c r="J86" s="117">
        <f>$I$86+$J$85</f>
        <v>0</v>
      </c>
      <c r="K86" s="117">
        <f>$J$86+$K$85</f>
        <v>0</v>
      </c>
      <c r="L86" s="117">
        <f>$K$86+$L$85</f>
        <v>0</v>
      </c>
      <c r="M86" s="117">
        <f>$L$86+$M$85</f>
        <v>0</v>
      </c>
      <c r="N86" s="5"/>
      <c r="O86" s="5"/>
      <c r="P86" s="5"/>
      <c r="Q86" s="5"/>
      <c r="R86" s="5"/>
      <c r="S86" s="5"/>
    </row>
    <row r="87" spans="1:19" x14ac:dyDescent="0.25">
      <c r="A87" s="87" t="s">
        <v>67</v>
      </c>
      <c r="B87" s="147">
        <f>IF(AND($B$44&gt;225937, $B$44&lt;260580), VLOOKUP($B$44-1, AnexoIV!$A$3:$C$233,3,TRUE),0)</f>
        <v>0</v>
      </c>
      <c r="C87" s="147">
        <f>IF(AND($C$44&gt;225937, $C$44&lt;260580), VLOOKUP($C$44, AnexoIV!$A$3:$C$233,3,TRUE),0)</f>
        <v>0</v>
      </c>
      <c r="D87" s="147">
        <f>IF(AND($D$44&gt;225937, $D$44&lt;260580), VLOOKUP($D$44, AnexoIV!$A$3:$C$233,3,TRUE),0)</f>
        <v>0</v>
      </c>
      <c r="E87" s="147">
        <f>IF(AND($E$44&gt;225937, $E$44&lt;260580), VLOOKUP($E$44, AnexoIV!$A$3:$C$233,3,TRUE),0)</f>
        <v>0</v>
      </c>
      <c r="F87" s="147">
        <f>IF(AND($F$44&gt;225937, $F$44&lt;260580), VLOOKUP($F$44, AnexoIV!$A$3:$C$233,3,TRUE),0)</f>
        <v>0</v>
      </c>
      <c r="G87" s="147">
        <f>IF(AND($G$44&gt;280792, $G$44&lt;324182), VLOOKUP($G$44, AnexoIV!$E$3:$G$234,3,TRUE),0)</f>
        <v>0</v>
      </c>
      <c r="H87" s="147">
        <f>IF(AND($H$44&gt;280792, $H$44&lt;324182), VLOOKUP($H$44, AnexoIV!$E$3:$G$234,3,TRUE),0)</f>
        <v>0</v>
      </c>
      <c r="I87" s="147">
        <f>IF(AND($I$44&gt;280792, $I$44&lt;324182), VLOOKUP($I$44, AnexoIV!$E$3:$G$234,3,TRUE),0)</f>
        <v>0</v>
      </c>
      <c r="J87" s="147">
        <f>IF(AND($J$44&gt;280792, $J$44&lt;324182), VLOOKUP($J$44, AnexoIV!$E$3:$G$234,3,TRUE),0)</f>
        <v>0</v>
      </c>
      <c r="K87" s="147">
        <f>IF(AND($K$44&gt;280792, $K$44&lt;324182), VLOOKUP($K$44, AnexoIV!$E$3:$G$234,3,TRUE),0)</f>
        <v>0</v>
      </c>
      <c r="L87" s="147">
        <f>IF(AND($L$44&gt;280792, $L$44&lt;324182), VLOOKUP($L$44, AnexoIV!$E$3:$G$234,3,TRUE),0)</f>
        <v>0</v>
      </c>
      <c r="M87" s="147">
        <f>IF(AND($M$44&gt;280792, $M$44&lt;324182), VLOOKUP($M$44, AnexoIV!$E$3:$G$234,3,TRUE),0)</f>
        <v>0</v>
      </c>
      <c r="N87" s="5"/>
      <c r="P87" s="5"/>
      <c r="Q87" s="5"/>
      <c r="R87" s="5"/>
      <c r="S87" s="5"/>
    </row>
    <row r="88" spans="1:19" x14ac:dyDescent="0.25">
      <c r="A88" s="59" t="s">
        <v>68</v>
      </c>
      <c r="B88" s="107">
        <f>$B$87</f>
        <v>0</v>
      </c>
      <c r="C88" s="107">
        <f>$B$88+$C$87</f>
        <v>0</v>
      </c>
      <c r="D88" s="107">
        <f>$C$88+$D$87</f>
        <v>0</v>
      </c>
      <c r="E88" s="107">
        <f>$D$88+$E$87</f>
        <v>0</v>
      </c>
      <c r="F88" s="107">
        <f>$E$88+$F$87</f>
        <v>0</v>
      </c>
      <c r="G88" s="107">
        <f>$F$88+$G$87</f>
        <v>0</v>
      </c>
      <c r="H88" s="107">
        <f>$G$88+$H$87</f>
        <v>0</v>
      </c>
      <c r="I88" s="107">
        <f>$H$88+$I$87</f>
        <v>0</v>
      </c>
      <c r="J88" s="107">
        <f>$I$88+$J$87</f>
        <v>0</v>
      </c>
      <c r="K88" s="107">
        <f>$J$88+$K$87</f>
        <v>0</v>
      </c>
      <c r="L88" s="107">
        <f>$K$88+$L$87</f>
        <v>0</v>
      </c>
      <c r="M88" s="107">
        <f>$L$88+$M$87</f>
        <v>0</v>
      </c>
      <c r="N88" s="5"/>
      <c r="P88" s="5"/>
      <c r="Q88" s="5"/>
      <c r="R88" s="5"/>
      <c r="S88" s="5"/>
    </row>
    <row r="89" spans="1:19" x14ac:dyDescent="0.25">
      <c r="A89" s="12" t="s">
        <v>69</v>
      </c>
      <c r="B89" s="99">
        <f>$B$80+$B$81+$B$82+$B$83+$B$84+$B$86+$B$88</f>
        <v>122073.01000000001</v>
      </c>
      <c r="C89" s="99">
        <f>$C$80+$C$81+$C$82+$C$83+$C$84+$C$86+$C$88</f>
        <v>244146.01</v>
      </c>
      <c r="D89" s="99">
        <f>$D$80+$D$81+$D$82+$D$83+$D$84+$D$86+$D$88</f>
        <v>366219.02</v>
      </c>
      <c r="E89" s="99">
        <f>$E$80+$E$81+$E$82+$E$83+$E$84+$E$86+$E$88</f>
        <v>488292.03</v>
      </c>
      <c r="F89" s="99">
        <f>$F$80+$F$81+$F$82+$F$83+$F$84+$F$86+$F$88</f>
        <v>610365.03</v>
      </c>
      <c r="G89" s="99">
        <f>$G$80+$G$81+$G$82+$G$83+$G$84+$G$86+$G$88</f>
        <v>732438.04</v>
      </c>
      <c r="H89" s="99">
        <f>$H$80+$H$81+$H$82+$H$83+$H$84+$H$86+$H$88</f>
        <v>854511.05</v>
      </c>
      <c r="I89" s="99">
        <f>$I$80+$I$81+$I$82+$I$83+$I$84+$I$86+$I$88</f>
        <v>976584.05</v>
      </c>
      <c r="J89" s="99">
        <f>$J$80+$J$81+$J$82+$J$83+$J$84+$J$86+$J$88</f>
        <v>1098657.06</v>
      </c>
      <c r="K89" s="99">
        <f>$K$80+$K$81+$K$82+$K$83+$K$84+$K$86+$K$88</f>
        <v>1220730.07</v>
      </c>
      <c r="L89" s="99">
        <f>$L$80+$L$81+$L$82+$L$83+$L$84+$L$86+$L$88</f>
        <v>1342803.07</v>
      </c>
      <c r="M89" s="99">
        <f>$M$80+$M$81+$M$82+$M$83+$M$84+$M$86+$M$88</f>
        <v>1464876.08</v>
      </c>
      <c r="N89" s="5"/>
      <c r="O89" s="5"/>
      <c r="P89" s="5"/>
      <c r="Q89" s="5"/>
      <c r="R89" s="5"/>
      <c r="S89" s="5"/>
    </row>
    <row r="90" spans="1:19" x14ac:dyDescent="0.25">
      <c r="A90" s="39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5"/>
      <c r="O90" s="5"/>
      <c r="P90" s="5"/>
      <c r="Q90" s="5"/>
      <c r="R90" s="5"/>
      <c r="S90" s="5"/>
    </row>
    <row r="91" spans="1:19" x14ac:dyDescent="0.25">
      <c r="A91" s="39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5"/>
      <c r="O91" s="5"/>
      <c r="P91" s="5"/>
      <c r="Q91" s="5"/>
      <c r="R91" s="5"/>
      <c r="S91" s="5"/>
    </row>
    <row r="92" spans="1:19" x14ac:dyDescent="0.2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5"/>
      <c r="O92" s="5"/>
      <c r="P92" s="5"/>
      <c r="Q92" s="5"/>
      <c r="R92" s="5"/>
      <c r="S92" s="5"/>
    </row>
    <row r="93" spans="1:19" hidden="1" x14ac:dyDescent="0.25">
      <c r="A93" s="26" t="s">
        <v>70</v>
      </c>
      <c r="B93" s="120" t="s">
        <v>71</v>
      </c>
      <c r="C93" s="120" t="s">
        <v>72</v>
      </c>
      <c r="D93" s="120" t="s">
        <v>73</v>
      </c>
      <c r="E93" s="120" t="s">
        <v>74</v>
      </c>
      <c r="F93" s="120" t="s">
        <v>75</v>
      </c>
      <c r="G93" s="120" t="s">
        <v>76</v>
      </c>
      <c r="H93" s="120" t="s">
        <v>77</v>
      </c>
      <c r="I93" s="120" t="s">
        <v>78</v>
      </c>
      <c r="J93" s="120" t="s">
        <v>79</v>
      </c>
      <c r="K93" s="120" t="s">
        <v>80</v>
      </c>
      <c r="L93" s="120" t="s">
        <v>81</v>
      </c>
      <c r="M93" s="121" t="s">
        <v>82</v>
      </c>
      <c r="N93" s="5"/>
      <c r="O93" s="5"/>
      <c r="P93" s="5"/>
      <c r="Q93" s="5"/>
      <c r="R93" s="5"/>
      <c r="S93" s="5"/>
    </row>
    <row r="94" spans="1:19" x14ac:dyDescent="0.25">
      <c r="A94" s="25" t="s">
        <v>83</v>
      </c>
      <c r="B94" s="122">
        <f>IF(($B$75-$B$78-$B$89)&gt;0,$B$75-$B$78-$B$89,0)</f>
        <v>0</v>
      </c>
      <c r="C94" s="122">
        <f>IF(($C$75-$C$78-$C$89)&gt;0,$C$75-$C$78-$C$89,0)</f>
        <v>0</v>
      </c>
      <c r="D94" s="122">
        <f>IF(($D$75-$D$78-$D$89)&gt;0,$D$75-$D$78-$D$89,0)</f>
        <v>0</v>
      </c>
      <c r="E94" s="122">
        <f>IF(($E$75-$E$78-$E$89)&gt;0,$E$75-$E$78-$E$89,0)</f>
        <v>0</v>
      </c>
      <c r="F94" s="122">
        <f>IF(($F$75-$F$78-$F$89)&gt;0,$F$75-$F$78-$F$89,0)</f>
        <v>0</v>
      </c>
      <c r="G94" s="122">
        <f>IF(($G$75-$G$78-$G$89)&gt;0,$G$75-$G$78-$G$89,0)</f>
        <v>0</v>
      </c>
      <c r="H94" s="122">
        <f>IF(($H$75-$H$78-$H$89)&gt;0,$H$75-$H$78-$H$89,0)</f>
        <v>0</v>
      </c>
      <c r="I94" s="122">
        <f>IF(($I$75-$I$78-$I$89)&gt;0,$I$75-$I$78-$I$89,0)</f>
        <v>0</v>
      </c>
      <c r="J94" s="122">
        <f>IF(($J$75-$J$78-$J$89)&gt;0,$J$75-$J$78-$J$89,0)</f>
        <v>0</v>
      </c>
      <c r="K94" s="122">
        <f>IF(($K$75-$K$78-$K$89)&gt;0,$K$75-$K$78-$K$89,0)</f>
        <v>0</v>
      </c>
      <c r="L94" s="122">
        <f>IF(($L$75-$L$78-$L$89)&gt;0,$L$75-$L$78-$L$89,0)</f>
        <v>0</v>
      </c>
      <c r="M94" s="122">
        <f>IF(($M$75-$M$78-$M$89)&gt;0,$M$75-$M$78-$M$89,0)</f>
        <v>0</v>
      </c>
      <c r="N94" s="5"/>
      <c r="O94" s="5"/>
      <c r="P94" s="5"/>
      <c r="Q94" s="5"/>
      <c r="R94" s="5"/>
      <c r="S94" s="5"/>
    </row>
    <row r="95" spans="1:19" x14ac:dyDescent="0.25">
      <c r="A95" s="27" t="s">
        <v>84</v>
      </c>
      <c r="B95" s="123">
        <f>'Escala Impuesto 2022 mensual'!D4</f>
        <v>0</v>
      </c>
      <c r="C95" s="123">
        <f>'Escala Impuesto 2022 mensual'!E4</f>
        <v>0</v>
      </c>
      <c r="D95" s="123">
        <f>'Escala Impuesto 2022 mensual'!F4</f>
        <v>0</v>
      </c>
      <c r="E95" s="123">
        <f>'Escala Impuesto 2022 mensual'!G4</f>
        <v>0</v>
      </c>
      <c r="F95" s="123">
        <f>'Escala Impuesto 2022 mensual'!H4</f>
        <v>0</v>
      </c>
      <c r="G95" s="123">
        <f>'Escala Impuesto 2022 mensual'!I4</f>
        <v>0</v>
      </c>
      <c r="H95" s="123">
        <f>'Escala Impuesto 2022 mensual'!J4</f>
        <v>0</v>
      </c>
      <c r="I95" s="123">
        <f>'Escala Impuesto 2022 mensual'!K4</f>
        <v>0</v>
      </c>
      <c r="J95" s="123">
        <f>'Escala Impuesto 2022 mensual'!L4</f>
        <v>0</v>
      </c>
      <c r="K95" s="123">
        <f>'Escala Impuesto 2022 mensual'!M4</f>
        <v>0</v>
      </c>
      <c r="L95" s="123">
        <f>'Escala Impuesto 2022 mensual'!N4</f>
        <v>0</v>
      </c>
      <c r="M95" s="123">
        <f>'Escala Impuesto 2022 mensual'!O4</f>
        <v>0</v>
      </c>
      <c r="N95" s="5"/>
      <c r="O95" s="5"/>
      <c r="P95" s="5"/>
      <c r="Q95" s="5"/>
      <c r="R95" s="5"/>
      <c r="S95" s="5"/>
    </row>
    <row r="96" spans="1:19" x14ac:dyDescent="0.25">
      <c r="A96" s="35" t="s">
        <v>85</v>
      </c>
      <c r="B96" s="124">
        <f>$B$95</f>
        <v>0</v>
      </c>
      <c r="C96" s="124">
        <f>$C$95-$B$95</f>
        <v>0</v>
      </c>
      <c r="D96" s="124">
        <f>$D$95-$C$95</f>
        <v>0</v>
      </c>
      <c r="E96" s="124">
        <f>$E$95-$D$95</f>
        <v>0</v>
      </c>
      <c r="F96" s="124">
        <f>$F$95-$E$95</f>
        <v>0</v>
      </c>
      <c r="G96" s="124">
        <f>$G$95-$F$95</f>
        <v>0</v>
      </c>
      <c r="H96" s="124">
        <f>$H$95-$G$95</f>
        <v>0</v>
      </c>
      <c r="I96" s="124">
        <f>$I$95-$H$95</f>
        <v>0</v>
      </c>
      <c r="J96" s="124">
        <f>$J$95-$I$95</f>
        <v>0</v>
      </c>
      <c r="K96" s="124">
        <f>$K$95-$J$95</f>
        <v>0</v>
      </c>
      <c r="L96" s="124">
        <f>$L$95-$K$95</f>
        <v>0</v>
      </c>
      <c r="M96" s="124">
        <f>$M$95-$L$95</f>
        <v>0</v>
      </c>
    </row>
    <row r="97" spans="1:13" s="17" customFormat="1" x14ac:dyDescent="0.25">
      <c r="A97" s="54"/>
      <c r="B97" s="55"/>
      <c r="C97" s="55"/>
      <c r="D97" s="55"/>
      <c r="E97" s="55"/>
      <c r="F97" s="55"/>
      <c r="G97" s="55"/>
      <c r="H97" s="55"/>
      <c r="I97" s="146"/>
      <c r="J97" s="55"/>
      <c r="K97" s="55"/>
      <c r="L97" s="55"/>
      <c r="M97" s="55"/>
    </row>
    <row r="98" spans="1:13" x14ac:dyDescent="0.25">
      <c r="G98" s="23"/>
      <c r="H98" s="22"/>
      <c r="I98" s="23"/>
      <c r="J98" s="22"/>
    </row>
    <row r="99" spans="1:13" x14ac:dyDescent="0.25">
      <c r="A99" s="4" t="s">
        <v>86</v>
      </c>
      <c r="G99" s="23"/>
      <c r="H99" s="22"/>
      <c r="I99" s="23"/>
      <c r="J99" s="22"/>
    </row>
    <row r="100" spans="1:13" x14ac:dyDescent="0.25">
      <c r="A100" s="4"/>
      <c r="G100" s="23"/>
      <c r="H100" s="22"/>
      <c r="I100" s="23"/>
      <c r="J100" s="22"/>
    </row>
    <row r="101" spans="1:13" s="42" customFormat="1" ht="60" x14ac:dyDescent="0.25">
      <c r="A101" s="196" t="s">
        <v>87</v>
      </c>
      <c r="B101" s="197"/>
      <c r="C101" s="198" t="s">
        <v>152</v>
      </c>
      <c r="D101" s="197"/>
      <c r="E101" s="197"/>
    </row>
    <row r="102" spans="1:13" s="42" customFormat="1" x14ac:dyDescent="0.25">
      <c r="A102" s="199" t="s">
        <v>162</v>
      </c>
      <c r="B102" s="200">
        <v>0</v>
      </c>
      <c r="C102" s="200">
        <v>12</v>
      </c>
      <c r="D102" s="207">
        <f>+C102/12*B102</f>
        <v>0</v>
      </c>
      <c r="E102" s="201"/>
      <c r="F102" s="44"/>
      <c r="G102" s="44"/>
      <c r="H102" s="44"/>
      <c r="I102" s="44"/>
      <c r="J102" s="44"/>
      <c r="K102" s="44"/>
      <c r="L102" s="44"/>
      <c r="M102" s="44"/>
    </row>
    <row r="103" spans="1:13" s="42" customFormat="1" ht="45" x14ac:dyDescent="0.25">
      <c r="A103" s="202" t="s">
        <v>62</v>
      </c>
      <c r="B103" s="203" t="s">
        <v>163</v>
      </c>
      <c r="C103" s="208"/>
      <c r="D103" s="208"/>
      <c r="E103" s="209">
        <f>SUM(E104:E109)</f>
        <v>0</v>
      </c>
      <c r="G103" s="45"/>
      <c r="H103" s="43"/>
      <c r="I103" s="45"/>
      <c r="J103" s="43"/>
    </row>
    <row r="104" spans="1:13" s="42" customFormat="1" x14ac:dyDescent="0.25">
      <c r="A104" s="204" t="s">
        <v>153</v>
      </c>
      <c r="B104" s="205">
        <v>0</v>
      </c>
      <c r="C104" s="206">
        <v>12</v>
      </c>
      <c r="D104" s="210">
        <f t="shared" ref="D104:D113" si="13">+C104/12</f>
        <v>1</v>
      </c>
      <c r="E104" s="210">
        <f>+B104*D104</f>
        <v>0</v>
      </c>
      <c r="G104" s="45"/>
      <c r="H104" s="43"/>
      <c r="I104" s="45"/>
      <c r="J104" s="43"/>
    </row>
    <row r="105" spans="1:13" s="42" customFormat="1" x14ac:dyDescent="0.25">
      <c r="A105" s="204" t="s">
        <v>154</v>
      </c>
      <c r="B105" s="205">
        <v>0</v>
      </c>
      <c r="C105" s="206">
        <v>12</v>
      </c>
      <c r="D105" s="210">
        <f t="shared" si="13"/>
        <v>1</v>
      </c>
      <c r="E105" s="210">
        <f t="shared" ref="E105:E113" si="14">+B105*D105</f>
        <v>0</v>
      </c>
      <c r="G105" s="45"/>
      <c r="H105" s="43"/>
      <c r="I105" s="45"/>
      <c r="J105" s="43"/>
    </row>
    <row r="106" spans="1:13" s="42" customFormat="1" x14ac:dyDescent="0.25">
      <c r="A106" s="204" t="s">
        <v>155</v>
      </c>
      <c r="B106" s="205">
        <v>0</v>
      </c>
      <c r="C106" s="206">
        <v>12</v>
      </c>
      <c r="D106" s="210">
        <f t="shared" si="13"/>
        <v>1</v>
      </c>
      <c r="E106" s="210">
        <f t="shared" si="14"/>
        <v>0</v>
      </c>
      <c r="G106" s="45"/>
      <c r="H106" s="43"/>
      <c r="I106" s="45"/>
      <c r="J106" s="43"/>
    </row>
    <row r="107" spans="1:13" s="42" customFormat="1" x14ac:dyDescent="0.25">
      <c r="A107" s="204" t="s">
        <v>156</v>
      </c>
      <c r="B107" s="205">
        <v>0</v>
      </c>
      <c r="C107" s="206">
        <v>12</v>
      </c>
      <c r="D107" s="210">
        <f t="shared" si="13"/>
        <v>1</v>
      </c>
      <c r="E107" s="210">
        <f t="shared" si="14"/>
        <v>0</v>
      </c>
      <c r="G107" s="45"/>
      <c r="H107" s="43"/>
      <c r="I107" s="45"/>
      <c r="J107" s="43"/>
    </row>
    <row r="108" spans="1:13" s="42" customFormat="1" x14ac:dyDescent="0.25">
      <c r="A108" s="204" t="s">
        <v>157</v>
      </c>
      <c r="B108" s="205">
        <v>0</v>
      </c>
      <c r="C108" s="206">
        <v>12</v>
      </c>
      <c r="D108" s="210">
        <f t="shared" si="13"/>
        <v>1</v>
      </c>
      <c r="E108" s="210">
        <f t="shared" si="14"/>
        <v>0</v>
      </c>
      <c r="G108" s="45"/>
      <c r="H108" s="43"/>
      <c r="I108" s="45"/>
      <c r="J108" s="43"/>
    </row>
    <row r="109" spans="1:13" s="42" customFormat="1" x14ac:dyDescent="0.25">
      <c r="A109" s="204" t="s">
        <v>158</v>
      </c>
      <c r="B109" s="205">
        <v>0</v>
      </c>
      <c r="C109" s="206">
        <v>12</v>
      </c>
      <c r="D109" s="210">
        <f t="shared" si="13"/>
        <v>1</v>
      </c>
      <c r="E109" s="210">
        <f t="shared" si="14"/>
        <v>0</v>
      </c>
      <c r="G109" s="45"/>
      <c r="H109" s="43"/>
      <c r="I109" s="45"/>
      <c r="J109" s="43"/>
    </row>
    <row r="110" spans="1:13" s="42" customFormat="1" ht="45" x14ac:dyDescent="0.25">
      <c r="A110" s="202" t="s">
        <v>63</v>
      </c>
      <c r="B110" s="203" t="s">
        <v>163</v>
      </c>
      <c r="C110" s="208"/>
      <c r="D110" s="208"/>
      <c r="E110" s="209">
        <f>SUM(E111:E113)</f>
        <v>0</v>
      </c>
      <c r="G110" s="45"/>
      <c r="H110" s="43"/>
      <c r="I110" s="45"/>
      <c r="J110" s="43"/>
    </row>
    <row r="111" spans="1:13" s="42" customFormat="1" x14ac:dyDescent="0.25">
      <c r="A111" s="204" t="s">
        <v>159</v>
      </c>
      <c r="B111" s="205">
        <v>0</v>
      </c>
      <c r="C111" s="206">
        <v>12</v>
      </c>
      <c r="D111" s="210">
        <f t="shared" si="13"/>
        <v>1</v>
      </c>
      <c r="E111" s="210">
        <f t="shared" si="14"/>
        <v>0</v>
      </c>
      <c r="G111" s="45"/>
      <c r="H111" s="43"/>
      <c r="I111" s="45"/>
      <c r="J111" s="43"/>
    </row>
    <row r="112" spans="1:13" s="42" customFormat="1" x14ac:dyDescent="0.25">
      <c r="A112" s="204" t="s">
        <v>160</v>
      </c>
      <c r="B112" s="205">
        <v>0</v>
      </c>
      <c r="C112" s="206">
        <v>12</v>
      </c>
      <c r="D112" s="210">
        <f t="shared" si="13"/>
        <v>1</v>
      </c>
      <c r="E112" s="210">
        <f t="shared" si="14"/>
        <v>0</v>
      </c>
      <c r="G112" s="45"/>
      <c r="H112" s="43"/>
      <c r="I112" s="45"/>
      <c r="J112" s="43"/>
    </row>
    <row r="113" spans="1:14" s="42" customFormat="1" x14ac:dyDescent="0.25">
      <c r="A113" s="204" t="s">
        <v>161</v>
      </c>
      <c r="B113" s="205">
        <v>0</v>
      </c>
      <c r="C113" s="206">
        <v>12</v>
      </c>
      <c r="D113" s="210">
        <f t="shared" si="13"/>
        <v>1</v>
      </c>
      <c r="E113" s="210">
        <f t="shared" si="14"/>
        <v>0</v>
      </c>
      <c r="G113" s="45"/>
      <c r="H113" s="43"/>
      <c r="I113" s="45"/>
      <c r="J113" s="43"/>
    </row>
    <row r="114" spans="1:14" s="42" customFormat="1" hidden="1" x14ac:dyDescent="0.25">
      <c r="A114" s="43"/>
      <c r="B114" s="193">
        <v>0</v>
      </c>
      <c r="G114" s="45"/>
      <c r="H114" s="43"/>
      <c r="I114" s="45"/>
      <c r="J114" s="43"/>
    </row>
    <row r="115" spans="1:14" s="42" customFormat="1" hidden="1" x14ac:dyDescent="0.25">
      <c r="A115" s="43"/>
      <c r="B115" s="191">
        <v>0.5</v>
      </c>
      <c r="G115" s="45"/>
      <c r="H115" s="43"/>
      <c r="I115" s="45"/>
      <c r="J115" s="43"/>
    </row>
    <row r="116" spans="1:14" hidden="1" x14ac:dyDescent="0.25">
      <c r="A116" s="39"/>
      <c r="B116" s="192">
        <v>1</v>
      </c>
      <c r="G116" s="23"/>
      <c r="H116" s="22"/>
      <c r="I116" s="23"/>
      <c r="J116" s="22"/>
    </row>
    <row r="117" spans="1:14" x14ac:dyDescent="0.25">
      <c r="A117" s="33"/>
      <c r="B117" s="38" t="s">
        <v>2</v>
      </c>
      <c r="C117" s="38" t="s">
        <v>3</v>
      </c>
      <c r="D117" s="38" t="s">
        <v>4</v>
      </c>
      <c r="E117" s="38" t="s">
        <v>5</v>
      </c>
      <c r="F117" s="38" t="s">
        <v>6</v>
      </c>
      <c r="G117" s="38" t="s">
        <v>7</v>
      </c>
      <c r="H117" s="38" t="s">
        <v>8</v>
      </c>
      <c r="I117" s="38" t="s">
        <v>9</v>
      </c>
      <c r="J117" s="38" t="s">
        <v>10</v>
      </c>
      <c r="K117" s="38" t="s">
        <v>11</v>
      </c>
      <c r="L117" s="38" t="s">
        <v>12</v>
      </c>
      <c r="M117" s="38" t="s">
        <v>13</v>
      </c>
    </row>
    <row r="118" spans="1:14" hidden="1" x14ac:dyDescent="0.25">
      <c r="A118" s="39"/>
      <c r="G118" s="23"/>
      <c r="H118" s="22"/>
      <c r="I118" s="23"/>
      <c r="J118" s="22"/>
    </row>
    <row r="119" spans="1:14" hidden="1" x14ac:dyDescent="0.25">
      <c r="A119" s="9" t="s">
        <v>61</v>
      </c>
      <c r="B119" s="141">
        <v>19621.439999999999</v>
      </c>
      <c r="C119" s="141">
        <v>39242.870000000003</v>
      </c>
      <c r="D119" s="141">
        <v>58864.31</v>
      </c>
      <c r="E119" s="141">
        <v>78485.75</v>
      </c>
      <c r="F119" s="141">
        <v>98107.19</v>
      </c>
      <c r="G119" s="141">
        <v>117728.62</v>
      </c>
      <c r="H119" s="141">
        <v>137350.06</v>
      </c>
      <c r="I119" s="141">
        <v>156971.5</v>
      </c>
      <c r="J119" s="141">
        <v>176592.93</v>
      </c>
      <c r="K119" s="141">
        <v>196214.37</v>
      </c>
      <c r="L119" s="141">
        <v>215835.81</v>
      </c>
      <c r="M119" s="141">
        <v>235457.25</v>
      </c>
      <c r="N119" s="52"/>
    </row>
    <row r="120" spans="1:14" hidden="1" x14ac:dyDescent="0.25">
      <c r="A120" s="9" t="s">
        <v>62</v>
      </c>
      <c r="B120" s="141">
        <v>9895.16</v>
      </c>
      <c r="C120" s="141">
        <v>19790.330000000002</v>
      </c>
      <c r="D120" s="141">
        <v>29685.49</v>
      </c>
      <c r="E120" s="141">
        <v>39580.660000000003</v>
      </c>
      <c r="F120" s="141">
        <v>49475.82</v>
      </c>
      <c r="G120" s="141">
        <v>59370.99</v>
      </c>
      <c r="H120" s="141">
        <v>69266.149999999994</v>
      </c>
      <c r="I120" s="141">
        <v>79161.31</v>
      </c>
      <c r="J120" s="141">
        <v>89056.48</v>
      </c>
      <c r="K120" s="141">
        <v>98951.64</v>
      </c>
      <c r="L120" s="141">
        <v>108846.81</v>
      </c>
      <c r="M120" s="141">
        <v>118741.97</v>
      </c>
      <c r="N120" s="52"/>
    </row>
    <row r="121" spans="1:14" hidden="1" x14ac:dyDescent="0.25">
      <c r="A121" s="9" t="s">
        <v>63</v>
      </c>
      <c r="B121" s="141">
        <v>19790.330000000002</v>
      </c>
      <c r="C121" s="141">
        <f t="shared" ref="C121:M121" si="15">C120*2</f>
        <v>39580.660000000003</v>
      </c>
      <c r="D121" s="141">
        <v>59370.99</v>
      </c>
      <c r="E121" s="141">
        <v>79161.31</v>
      </c>
      <c r="F121" s="141">
        <f t="shared" si="15"/>
        <v>98951.64</v>
      </c>
      <c r="G121" s="141">
        <v>118741.97</v>
      </c>
      <c r="H121" s="141">
        <v>138532.29999999999</v>
      </c>
      <c r="I121" s="141">
        <v>158322.63</v>
      </c>
      <c r="J121" s="141">
        <f t="shared" si="15"/>
        <v>178112.96</v>
      </c>
      <c r="K121" s="141">
        <v>197903.29</v>
      </c>
      <c r="L121" s="141">
        <f t="shared" si="15"/>
        <v>217693.62</v>
      </c>
      <c r="M121" s="141">
        <f t="shared" si="15"/>
        <v>237483.94</v>
      </c>
      <c r="N121" s="52"/>
    </row>
    <row r="122" spans="1:14" hidden="1" x14ac:dyDescent="0.25">
      <c r="G122" s="23"/>
      <c r="H122" s="22"/>
      <c r="I122" s="23"/>
      <c r="J122" s="22"/>
    </row>
    <row r="123" spans="1:14" x14ac:dyDescent="0.25">
      <c r="A123" s="4" t="s">
        <v>37</v>
      </c>
      <c r="G123" s="23"/>
      <c r="H123" s="22"/>
      <c r="I123" s="23"/>
      <c r="J123" s="22"/>
    </row>
    <row r="124" spans="1:14" s="17" customFormat="1" x14ac:dyDescent="0.25">
      <c r="A124" s="40" t="s">
        <v>88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</row>
    <row r="125" spans="1:14" x14ac:dyDescent="0.25">
      <c r="A125" s="40" t="s">
        <v>89</v>
      </c>
      <c r="B125" s="125">
        <v>0</v>
      </c>
      <c r="C125" s="125">
        <v>0</v>
      </c>
      <c r="D125" s="125">
        <v>0</v>
      </c>
      <c r="E125" s="125"/>
      <c r="F125" s="125"/>
      <c r="G125" s="125"/>
      <c r="H125" s="125"/>
      <c r="I125" s="125"/>
      <c r="J125" s="125"/>
      <c r="K125" s="125"/>
      <c r="L125" s="125"/>
      <c r="M125" s="125"/>
    </row>
    <row r="126" spans="1:14" x14ac:dyDescent="0.25">
      <c r="A126" s="47" t="s">
        <v>90</v>
      </c>
      <c r="B126" s="48">
        <f>B125*0.4</f>
        <v>0</v>
      </c>
      <c r="C126" s="48">
        <f t="shared" ref="C126:M126" si="16">C125*0.4</f>
        <v>0</v>
      </c>
      <c r="D126" s="48">
        <f t="shared" si="16"/>
        <v>0</v>
      </c>
      <c r="E126" s="48">
        <f t="shared" si="16"/>
        <v>0</v>
      </c>
      <c r="F126" s="48">
        <f t="shared" si="16"/>
        <v>0</v>
      </c>
      <c r="G126" s="48">
        <f t="shared" si="16"/>
        <v>0</v>
      </c>
      <c r="H126" s="48">
        <f t="shared" si="16"/>
        <v>0</v>
      </c>
      <c r="I126" s="48">
        <f t="shared" si="16"/>
        <v>0</v>
      </c>
      <c r="J126" s="48">
        <f t="shared" si="16"/>
        <v>0</v>
      </c>
      <c r="K126" s="48">
        <f t="shared" si="16"/>
        <v>0</v>
      </c>
      <c r="L126" s="48">
        <f t="shared" si="16"/>
        <v>0</v>
      </c>
      <c r="M126" s="48">
        <f t="shared" si="16"/>
        <v>0</v>
      </c>
      <c r="N126" s="76"/>
    </row>
    <row r="127" spans="1:14" ht="15.75" customHeight="1" x14ac:dyDescent="0.25">
      <c r="A127" s="40" t="s">
        <v>91</v>
      </c>
      <c r="B127" s="125">
        <v>0</v>
      </c>
      <c r="C127" s="125">
        <v>0</v>
      </c>
      <c r="D127" s="125">
        <v>0</v>
      </c>
      <c r="E127" s="125"/>
      <c r="F127" s="125"/>
      <c r="G127" s="125"/>
      <c r="H127" s="125"/>
      <c r="I127" s="125"/>
      <c r="J127" s="125"/>
      <c r="K127" s="125"/>
      <c r="L127" s="125"/>
      <c r="M127" s="125"/>
    </row>
    <row r="128" spans="1:14" ht="15.75" customHeight="1" x14ac:dyDescent="0.25">
      <c r="A128" s="13" t="s">
        <v>92</v>
      </c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</row>
    <row r="129" spans="1:19" ht="15.75" customHeight="1" x14ac:dyDescent="0.25">
      <c r="A129" s="49" t="s">
        <v>93</v>
      </c>
      <c r="B129" s="50">
        <f>$B$80*0.4</f>
        <v>8418.8279999999995</v>
      </c>
      <c r="C129" s="50">
        <f>$C$80*0.4</f>
        <v>16837.655999999999</v>
      </c>
      <c r="D129" s="50">
        <f>$D$80*0.4</f>
        <v>25256.484</v>
      </c>
      <c r="E129" s="50">
        <f>$E$80*0.4</f>
        <v>33675.311999999998</v>
      </c>
      <c r="F129" s="50">
        <f>$F$80*0.4</f>
        <v>42094.140000000007</v>
      </c>
      <c r="G129" s="50">
        <f>$G$80*0.4</f>
        <v>50512.968000000001</v>
      </c>
      <c r="H129" s="50">
        <f>$H$80*0.4</f>
        <v>58931.796000000002</v>
      </c>
      <c r="I129" s="50">
        <f>$I$80*0.4</f>
        <v>67350.623999999996</v>
      </c>
      <c r="J129" s="50">
        <f>$J$80*0.4</f>
        <v>75769.452000000005</v>
      </c>
      <c r="K129" s="50">
        <f>$K$80*0.4</f>
        <v>84188.280000000013</v>
      </c>
      <c r="L129" s="50">
        <f>$L$80*0.4</f>
        <v>92607.108000000007</v>
      </c>
      <c r="M129" s="50">
        <f>$M$80*0.4</f>
        <v>101025.936</v>
      </c>
      <c r="N129" s="76"/>
    </row>
    <row r="130" spans="1:19" ht="15.75" customHeight="1" x14ac:dyDescent="0.25">
      <c r="A130" s="13" t="s">
        <v>94</v>
      </c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</row>
    <row r="131" spans="1:19" ht="15.75" customHeight="1" x14ac:dyDescent="0.25">
      <c r="A131" s="13" t="s">
        <v>54</v>
      </c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</row>
    <row r="132" spans="1:19" ht="15.75" customHeight="1" x14ac:dyDescent="0.25">
      <c r="A132" s="67" t="s">
        <v>95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</row>
    <row r="133" spans="1:19" ht="15.75" customHeight="1" x14ac:dyDescent="0.25">
      <c r="A133" s="67" t="s">
        <v>96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</row>
    <row r="134" spans="1:19" ht="15.75" customHeight="1" x14ac:dyDescent="0.25">
      <c r="A134" s="75" t="s">
        <v>97</v>
      </c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76"/>
    </row>
    <row r="135" spans="1:19" ht="15.75" customHeight="1" x14ac:dyDescent="0.25">
      <c r="A135" s="70"/>
      <c r="B135" s="71">
        <f>$B$134*0.4</f>
        <v>0</v>
      </c>
      <c r="C135" s="71">
        <f>$C$134*0.4</f>
        <v>0</v>
      </c>
      <c r="D135" s="71">
        <f>$D$134*0.4</f>
        <v>0</v>
      </c>
      <c r="E135" s="71">
        <f>$E$134*0.4</f>
        <v>0</v>
      </c>
      <c r="F135" s="71">
        <f>$F$134*0.4</f>
        <v>0</v>
      </c>
      <c r="G135" s="71">
        <f>$G$134*0.4</f>
        <v>0</v>
      </c>
      <c r="H135" s="71">
        <f>$H$134*0.4</f>
        <v>0</v>
      </c>
      <c r="I135" s="71">
        <f>$I$134*0.4</f>
        <v>0</v>
      </c>
      <c r="J135" s="71">
        <f>$J$134*0.4</f>
        <v>0</v>
      </c>
      <c r="K135" s="71">
        <f>$K$134*0.4</f>
        <v>0</v>
      </c>
      <c r="L135" s="71">
        <f>$L$134*0.4</f>
        <v>0</v>
      </c>
      <c r="M135" s="71">
        <f>$M$134*0.4</f>
        <v>0</v>
      </c>
      <c r="N135" s="76"/>
    </row>
    <row r="136" spans="1:19" ht="15.75" customHeight="1" x14ac:dyDescent="0.25">
      <c r="A136" s="13" t="s">
        <v>98</v>
      </c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</row>
    <row r="137" spans="1:19" ht="15.75" customHeight="1" x14ac:dyDescent="0.25">
      <c r="G137" s="22"/>
      <c r="H137" s="22"/>
      <c r="I137" s="23"/>
      <c r="J137" s="22"/>
    </row>
    <row r="138" spans="1:19" ht="15.75" customHeight="1" x14ac:dyDescent="0.25">
      <c r="B138" s="5"/>
      <c r="G138" s="22"/>
      <c r="H138" s="22"/>
      <c r="I138" s="23"/>
      <c r="J138" s="22"/>
    </row>
    <row r="139" spans="1:19" hidden="1" x14ac:dyDescent="0.25">
      <c r="A139" s="74" t="s">
        <v>99</v>
      </c>
      <c r="B139" s="69">
        <f>$B$75*0.05</f>
        <v>0</v>
      </c>
      <c r="C139" s="69">
        <f>$C$75*0.05</f>
        <v>0</v>
      </c>
      <c r="D139" s="69">
        <f>$D$75*0.05</f>
        <v>0</v>
      </c>
      <c r="E139" s="69">
        <f>$E$75*0.05</f>
        <v>0</v>
      </c>
      <c r="F139" s="69">
        <f>$F$75*0.05</f>
        <v>0</v>
      </c>
      <c r="G139" s="69">
        <f>$G$75*0.05</f>
        <v>0</v>
      </c>
      <c r="H139" s="69">
        <f>$H$75*0.05</f>
        <v>0</v>
      </c>
      <c r="I139" s="69">
        <f>$I$75*0.05</f>
        <v>0</v>
      </c>
      <c r="J139" s="69">
        <f>$J$75*0.05</f>
        <v>0</v>
      </c>
      <c r="K139" s="69">
        <f>$K$75*0.05</f>
        <v>0</v>
      </c>
      <c r="L139" s="69">
        <f>$L$75*0.05</f>
        <v>0</v>
      </c>
      <c r="M139" s="69">
        <f>$M$75*0.05</f>
        <v>0</v>
      </c>
    </row>
    <row r="140" spans="1:19" s="17" customFormat="1" hidden="1" x14ac:dyDescent="0.25">
      <c r="A140" s="145" t="s">
        <v>143</v>
      </c>
      <c r="B140" s="143">
        <f>IF((B$75-B$78-B$80-$B$81-$B$82-$B$83-$B$84)&gt;0, $B$74-$B$78-$B$80-$B$81-$B$82-$B$83-$B$84,0)</f>
        <v>0</v>
      </c>
      <c r="C140" s="143">
        <f>IF((C$75-$C$78-$C$80-$C$81-$C$82-$C$83-$C$84-$B$86-$B$88)&gt;0,$C$74-$C$78-$B$78-$B$80-$B$81-$B$82-$B$83-$B$84,0)</f>
        <v>0</v>
      </c>
      <c r="D140" s="143">
        <f>IF(($D$75-$D$78-$D$80-$D$81-$D$82-$D$83-$D$84-$C$86-$C$88)&gt;0,$D$74-$D$78-$C$78-$B$80-$B$81-$B$82-$B$83-$B$84,0)</f>
        <v>0</v>
      </c>
      <c r="E140" s="143">
        <f>IF(($E$75-$E$78-$E$80-$E$81-$E$82-$E$83-$E$84-$D$86-$D$88)&gt;0,$E$74-$E$78-$D$78-$B$80-$B$81-$B$82-$B$83-$B$84,0)</f>
        <v>0</v>
      </c>
      <c r="F140" s="143">
        <f>IF(($F$75-$F$78-$F$80-$F$81-$F$82-$F$83-$F$84-$E$86-$E$88)&gt;0,$F$74-$F$78-$E$78-$B$80-$B$81-$B$82-$B$83-$B$84,0)</f>
        <v>0</v>
      </c>
      <c r="G140" s="143">
        <f>IF(($G$75-$G$78-$G$80-$G$81-$G$82-$G$83-$G$84-$F$86-$F$88)&gt;0,$G$74-$G$78-$F$78-$B$80-$B$81-$B$82-$B$83-$B$84,0)</f>
        <v>0</v>
      </c>
      <c r="H140" s="143">
        <f>IF(($H$75-$H$78-$H$80-$H$81-$H$82-$H$83-$H$84-$G$86-$G$88)&gt;0,$H$74-$H$78-$G$78-$B$80-$B$81-$B$82-$B$83-$B$84,0)</f>
        <v>0</v>
      </c>
      <c r="I140" s="143">
        <f>IF(($I$75-$I$78-$I$80-$I$81-$I$82-$I$83-$I$84-$H$86-$H$88)&gt;0,$I$74-$I$78-$H$78-$B$80-$B$81-$B$82-$B$83-$B$84,0)</f>
        <v>0</v>
      </c>
      <c r="J140" s="143">
        <f>IF(($J$75-$J$78-$J$80-$J$81-$J$82-$J$83-$J$84-$I$86-$I$88)&gt;0,$J$74-$J$78-$I$78-$B$80-$B$81-$B$82-$B$83-$B$84,0)</f>
        <v>0</v>
      </c>
      <c r="K140" s="143">
        <f>IF(($K$75-$K$78-$K$80-$K$81-$K$82-$K$83-$K$84-$J$86-$J$88)&gt;0,$K$74-$K$78-$J$78-$B$80-$B$81-$B$82-$B$83-$B$84,0)</f>
        <v>0</v>
      </c>
      <c r="L140" s="143">
        <f>IF(($L$75-$L$78-$L$80-$L$81-$L$82-$L$83-$L$84-$K$86-$K$88)&gt;0,$L$74-$L$78-$K$78-$B$80-$B$81-$B$82-$B$83-$B$84,0)</f>
        <v>0</v>
      </c>
      <c r="M140" s="143">
        <f>IF(($M$75-$M$78-$M$80-$M$81-$M$82-$M$83-$M$84-$L$86-$L$88)&gt;0,$M$74-$M$78-$L$78-$B$80-$B$81-$B$82-$B$83-$B$84,0)</f>
        <v>0</v>
      </c>
    </row>
    <row r="141" spans="1:19" s="17" customFormat="1" hidden="1" x14ac:dyDescent="0.25">
      <c r="A141" s="142" t="s">
        <v>132</v>
      </c>
      <c r="B141" s="143">
        <f>IF(($B$75-$B$78-$B$80-$B$81-$B$82-$B$83-$B$84)&gt;0, $B$75-$B$78-$B$80-$B$81-$B$82-$B$83-$B$84,0)</f>
        <v>0</v>
      </c>
      <c r="C141" s="143">
        <f>IF(($C$75-$C$78-$C$80-$C$81-$C$82-$C$83-$C$84-$B$86-$B$88)&gt;0, $C$75-$C$78-$C$80-$C$81-$C$82-$C$83-$C$84-$B$86-$B$88,0)</f>
        <v>0</v>
      </c>
      <c r="D141" s="143">
        <f>IF(($D$75-$D$78-$D$80-$D$81-$D$82-$D$83-$D$84-$C$86-$C$88)&gt;0, $D$75-$D$78-$D$80-$D$81-$D$82-$D$83-$D$84-$C$86-$C$88,0)</f>
        <v>0</v>
      </c>
      <c r="E141" s="143">
        <f>IF(($E$75-$E$78-$E$80-$E$81-$E$82-$E$83-$E$84-$D$86-$D$88)&gt;0, $E$75-$E$78-$E$80-$E$81-$E$82-$E$83-$E$84-$D$86-$D$88,0)</f>
        <v>0</v>
      </c>
      <c r="F141" s="143">
        <f>IF(($F$75-$F$78-$F$80-$F$81-$F$82-$F$83-$F$84-$E$86-$E$88)&gt;0, $F$75-$F$78-$F$80-$F$81-$F$82-$F$83-$F$84-$E$86-$E$88,0)</f>
        <v>0</v>
      </c>
      <c r="G141" s="143">
        <f>IF(($G$75-$G$78-$G$80-$G$81-$G$82-$G$83-$G$84-$F$86-$F$88)&gt;0, $G$75-$G$78-$G$80-$G$81-$G$82-$G$83-$G$84-$F$86-$F$88,0)</f>
        <v>0</v>
      </c>
      <c r="H141" s="143">
        <f>IF(($H$75-$H$78-$H$80-$H$81-$H$82-$H$83-$H$84-$G$86-$G$88)&gt;0, $H$75-$H$78-$H$80-$H$81-$H$82-$H$83-$H$84-$G$86-$G$88,0)</f>
        <v>0</v>
      </c>
      <c r="I141" s="143">
        <f>IF(($I$75-$I$78-$I$80-$I$81-$I$82-$I$83-$I$84-$H$86-$H$88)&gt;0, $I$75-$I$78-$I$80-$I$81-$I$82-$I$83-$I$84-$H$86-$H$88,0)</f>
        <v>0</v>
      </c>
      <c r="J141" s="143">
        <f>IF(($J$75-$J$78-$J$80-$J$81-$J$82-$J$83-$J$84-$I$86-$I$88)&gt;0, $J$75-$J$78-$J$80-$J$81-$J$82-$J$83-$J$84-$I$86-$I$88,0)</f>
        <v>0</v>
      </c>
      <c r="K141" s="143">
        <f>IF(($K$75-$K$78-$K$80-$K$81-$K$82-$K$83-$K$84-$J$86-$J$88)&gt;0, $K$75-$K$78-$K$80-$K$81-$K$82-$K$83-$K$84-$J$86-$J$88,0)</f>
        <v>0</v>
      </c>
      <c r="L141" s="143">
        <f>IF(($L$75-$L$78-$L$80-$L$81-$L$82-$L$83-$L$84-$K$86-$K$88)&gt;0, $L$75-$L$78-$L$80-$L$81-$L$82-$L$83-$L$84-$K$86-$K$88,0)</f>
        <v>0</v>
      </c>
      <c r="M141" s="143">
        <f>IF(($M$75-$M$78-$M$80-$M$81-$M$82-$M$83-$M$84-$L$86-$L$88)&gt;0, $M$75-$M$78-$M$80-$M$81-$M$82-$M$83-$M$84-$L$86-$L$88,0)</f>
        <v>0</v>
      </c>
    </row>
    <row r="142" spans="1:19" s="17" customFormat="1" hidden="1" x14ac:dyDescent="0.25">
      <c r="A142" s="145" t="s">
        <v>144</v>
      </c>
      <c r="B142" s="143">
        <f>MIN($B$140,$B$141)</f>
        <v>0</v>
      </c>
      <c r="C142" s="143">
        <f>MIN($C$140,$C$141)</f>
        <v>0</v>
      </c>
      <c r="D142" s="143">
        <f>MIN($D$140,$D$141)</f>
        <v>0</v>
      </c>
      <c r="E142" s="143">
        <f>MIN($E$140,$E$141)</f>
        <v>0</v>
      </c>
      <c r="F142" s="143">
        <f>MIN($F$140,$F$141)</f>
        <v>0</v>
      </c>
      <c r="G142" s="143">
        <f>MIN($G$140,$G$141)</f>
        <v>0</v>
      </c>
      <c r="H142" s="143">
        <f>MIN($H$140,$H$141)</f>
        <v>0</v>
      </c>
      <c r="I142" s="143">
        <f>MIN($I$140,$I$141)</f>
        <v>0</v>
      </c>
      <c r="J142" s="143">
        <f>MIN($J$140,$J$141)</f>
        <v>0</v>
      </c>
      <c r="K142" s="143">
        <f>MIN($K$140,$K$141)</f>
        <v>0</v>
      </c>
      <c r="L142" s="143">
        <f>MIN($L$140,$L$141)</f>
        <v>0</v>
      </c>
      <c r="M142" s="143">
        <f>MIN($M$140,$M$141)</f>
        <v>0</v>
      </c>
    </row>
    <row r="143" spans="1:19" s="17" customFormat="1" ht="15" hidden="1" customHeight="1" x14ac:dyDescent="0.25">
      <c r="A143" s="41" t="s">
        <v>130</v>
      </c>
    </row>
    <row r="144" spans="1:19" s="82" customFormat="1" ht="15" hidden="1" customHeight="1" x14ac:dyDescent="0.25">
      <c r="A144" s="88" t="s">
        <v>118</v>
      </c>
      <c r="B144" s="89">
        <f>IF($B$42&lt;=451873.65,$B$13+$B$34,0)</f>
        <v>0</v>
      </c>
      <c r="C144" s="89">
        <f>IF($C$42&lt;=451873.65,$C$13+$C$34,0)</f>
        <v>0</v>
      </c>
      <c r="D144" s="89">
        <f>IF($D$42&lt;=451873.65,$D$13+$D$34,0)</f>
        <v>0</v>
      </c>
      <c r="E144" s="89">
        <f>IF($E$42&lt;=451873.65,$E$13+$E$34,0)</f>
        <v>0</v>
      </c>
      <c r="F144" s="89">
        <f>IF($F$42&lt;=451873.65,$F$13+$F$34,0)</f>
        <v>0</v>
      </c>
      <c r="G144" s="89">
        <f>IF($G$42&lt;=451873.65,$G$13+$G$34,0)</f>
        <v>0</v>
      </c>
      <c r="H144" s="89">
        <f>IF($H$42&lt;=451873.65,$H$13+$H$34,0)</f>
        <v>0</v>
      </c>
      <c r="I144" s="89">
        <f>IF($I$42&lt;=451873.65,$I$13+$I$34,0)</f>
        <v>0</v>
      </c>
      <c r="J144" s="89">
        <f>IF($J$42&lt;=451873.65,$J$13+$J$34,0)</f>
        <v>0</v>
      </c>
      <c r="K144" s="89">
        <f>IF($K$42&lt;=451873.65,$K$13+$K$34,0)</f>
        <v>0</v>
      </c>
      <c r="L144" s="89">
        <f>IF($L$42&lt;=451873.65,$L$13+$L$34,0)</f>
        <v>0</v>
      </c>
      <c r="M144" s="89">
        <f>IF($M$42&lt;=451873.65,$M$13+$M$34,0)</f>
        <v>0</v>
      </c>
      <c r="N144" s="76"/>
      <c r="O144" s="81"/>
      <c r="P144" s="81"/>
      <c r="Q144" s="81"/>
      <c r="R144" s="81"/>
      <c r="S144" s="81"/>
    </row>
    <row r="145" spans="1:19" s="82" customFormat="1" ht="15" hidden="1" customHeight="1" x14ac:dyDescent="0.25">
      <c r="A145" s="88" t="s">
        <v>119</v>
      </c>
      <c r="B145" s="89">
        <f>IF($B$144&gt;101025.94,101025.94,$B$144)</f>
        <v>0</v>
      </c>
      <c r="C145" s="89">
        <f>IF($B$144+$C$144&gt;101025.94,101025.94-$B$145,$C$144)</f>
        <v>0</v>
      </c>
      <c r="D145" s="89">
        <f>IF($B$144+$C$144+$D$144&gt;101025.94,101025.94-$C$145-$B$145,$D$144)</f>
        <v>0</v>
      </c>
      <c r="E145" s="89">
        <f>IF($B$144+$C$144+$D$144+$E$144&gt;101025.94,101025.94-$D$145-$C$145-$B$145,$E$144)</f>
        <v>0</v>
      </c>
      <c r="F145" s="89">
        <f>IF($B$144+$C$144+$D$144+$E$144+$F$144&gt;101025.94,101025.94-$B$145-$E$145-$D$145-$C$145,$F$144)</f>
        <v>0</v>
      </c>
      <c r="G145" s="89">
        <f>IF($B$144+$C$144+$D$144+$E$144+$F$144+$G$144&gt;101025.94,101025.94-$B$145-$C$145-$F$145-$E$145-$D$145,$G$144)</f>
        <v>0</v>
      </c>
      <c r="H145" s="89">
        <f>IF($B$144+$C$144+$D$144+$E$144+$F$144+$G$144+$H$144&gt;101025.94,101025.94-$B$145-$C$145-$D$145-$G$145-$F$145-$E$145,$H$144)</f>
        <v>0</v>
      </c>
      <c r="I145" s="89">
        <f>IF($B$144+$C$144+$D$144+$E$144+$F$144+$G$144+$H$144+$I$144&gt;101025.94,101025.94-$B$145-$C$145-$D$145-$E$145-$H$145-$G$145-$F$145,$I$144)</f>
        <v>0</v>
      </c>
      <c r="J145" s="89">
        <f>IF($B$144+$C$144+$D$144+$E$144+$F$144+$G$144+$H$144+$I$144+$J$144&gt;101025.94,101025.94-$B$145-$C$145-$D$145-$E$145-$F$145-$I$145-$H$145-$G$145,$J$144)</f>
        <v>0</v>
      </c>
      <c r="K145" s="89">
        <f>IF($B$144+$C$144+$D$144+$E$144+$F$144+$G$144+$H$144+$I$144+$J$144+$K$144&gt;101025.94,101025.94-$B$145-$C$145-$D$145-$E$145-$F$145-$G$145-$J$145-$I$145-$H$145,$K$144)</f>
        <v>0</v>
      </c>
      <c r="L145" s="89">
        <f>IF($B$144+$C$144+$D$144+$E$144+$F$144+$G$144+$H$144+$I$144+$J$144+$K$144+$L$144&gt;101025.94,101025.94-$B$145-$C$145-$D$145-$E$145-$F$145-$G$145-$H$145-$K$145-$J$145-$I$145,$L$144)</f>
        <v>0</v>
      </c>
      <c r="M145" s="89">
        <f>IF($B$144+$C$144+$D$144+$E$144+$F$144+$G$144+$H$144+$I$144+$J$144+$K$144+$L$144+$M$144&gt;101025.94,101025.94-$B$145-$C$145-$D$145-$E$145-$F$145-$G$145-$H$145-$I$145-$L$145-$K$145-$J$145,$M$144)</f>
        <v>0</v>
      </c>
      <c r="N145" s="76"/>
      <c r="O145" s="81"/>
      <c r="P145" s="81"/>
      <c r="Q145" s="81"/>
      <c r="R145" s="81"/>
      <c r="S145" s="81"/>
    </row>
    <row r="146" spans="1:19" s="82" customFormat="1" ht="15" hidden="1" customHeight="1" x14ac:dyDescent="0.25">
      <c r="A146" s="88" t="s">
        <v>120</v>
      </c>
      <c r="B146" s="89">
        <f>+$B$144-$B$145</f>
        <v>0</v>
      </c>
      <c r="C146" s="89">
        <f>+$C$144-$C$145</f>
        <v>0</v>
      </c>
      <c r="D146" s="89">
        <f>+$D$144-$D$145</f>
        <v>0</v>
      </c>
      <c r="E146" s="89">
        <f>+$E$144-$E$145</f>
        <v>0</v>
      </c>
      <c r="F146" s="89">
        <f>+$F$144-$F$145</f>
        <v>0</v>
      </c>
      <c r="G146" s="89">
        <f>+$G$144-$G$145</f>
        <v>0</v>
      </c>
      <c r="H146" s="89">
        <f>+$H$144-$H$145</f>
        <v>0</v>
      </c>
      <c r="I146" s="89">
        <f>+$I$144-$I$145</f>
        <v>0</v>
      </c>
      <c r="J146" s="89">
        <f>+$J$144-$J$145</f>
        <v>0</v>
      </c>
      <c r="K146" s="89">
        <f>+$K$144-$K$145</f>
        <v>0</v>
      </c>
      <c r="L146" s="89">
        <f>+$L$144-$L$145</f>
        <v>0</v>
      </c>
      <c r="M146" s="89">
        <f>+$M$144-$M$145</f>
        <v>0</v>
      </c>
      <c r="N146" s="76"/>
      <c r="O146" s="81"/>
      <c r="P146" s="81"/>
      <c r="Q146" s="81"/>
      <c r="R146" s="81"/>
      <c r="S146" s="81"/>
    </row>
    <row r="147" spans="1:19" s="82" customFormat="1" ht="15" hidden="1" customHeight="1" x14ac:dyDescent="0.25">
      <c r="A147" s="88" t="s">
        <v>121</v>
      </c>
      <c r="B147" s="89">
        <f>IF($B$42&gt;451873.65,($B$13+$B$34),0)</f>
        <v>0</v>
      </c>
      <c r="C147" s="89">
        <f>IF($C$42&gt;451873.65,($C$13+$C$34),0)</f>
        <v>0</v>
      </c>
      <c r="D147" s="89">
        <f>IF($D$42&gt;451873.65,($D$13+$D$34),0)</f>
        <v>0</v>
      </c>
      <c r="E147" s="89">
        <f>IF($E$42&gt;451873.65,($E$13+$E$34),0)</f>
        <v>0</v>
      </c>
      <c r="F147" s="89">
        <f>IF($F$42&gt;451873.65,($F$13+$F$34),0)</f>
        <v>0</v>
      </c>
      <c r="G147" s="89">
        <f>IF($G$42&gt;451873.65,($G$13+$G$34),0)</f>
        <v>0</v>
      </c>
      <c r="H147" s="89">
        <f>IF($H$42&gt;451873.65,($H$13+$H$34),0)</f>
        <v>0</v>
      </c>
      <c r="I147" s="89">
        <f>IF($I$42&gt;451873.65,($I$13+$I$34),0)</f>
        <v>0</v>
      </c>
      <c r="J147" s="89">
        <f>IF($J$42&gt;451873.65,($J$13+$J$34),0)</f>
        <v>0</v>
      </c>
      <c r="K147" s="89">
        <f>IF($K$42&gt;451873.65,($K$13+$K$34),0)</f>
        <v>0</v>
      </c>
      <c r="L147" s="89">
        <f>IF($L$42&gt;451873.65,($L$13+$L$34),0)</f>
        <v>0</v>
      </c>
      <c r="M147" s="89">
        <f>IF($M$42&gt;451873.65,($M$13+$M$34),0)</f>
        <v>0</v>
      </c>
      <c r="N147" s="76"/>
      <c r="O147" s="81"/>
      <c r="P147" s="81"/>
      <c r="Q147" s="81"/>
      <c r="R147" s="81"/>
      <c r="S147" s="81"/>
    </row>
    <row r="148" spans="1:19" s="82" customFormat="1" ht="15" hidden="1" customHeight="1" x14ac:dyDescent="0.25">
      <c r="A148" s="90" t="s">
        <v>123</v>
      </c>
      <c r="B148" s="91">
        <f>+$B$13</f>
        <v>0</v>
      </c>
      <c r="C148" s="91">
        <f>+$C$13</f>
        <v>0</v>
      </c>
      <c r="D148" s="91">
        <f>+$D$13</f>
        <v>0</v>
      </c>
      <c r="E148" s="91">
        <f>+$E$13</f>
        <v>0</v>
      </c>
      <c r="F148" s="91">
        <f>+$F$13</f>
        <v>0</v>
      </c>
      <c r="G148" s="91">
        <f>+$G$13</f>
        <v>0</v>
      </c>
      <c r="H148" s="91">
        <f>+$H$13</f>
        <v>0</v>
      </c>
      <c r="I148" s="91">
        <f>+$I$13</f>
        <v>0</v>
      </c>
      <c r="J148" s="91">
        <f>+$J$13</f>
        <v>0</v>
      </c>
      <c r="K148" s="91">
        <f>+$K$13</f>
        <v>0</v>
      </c>
      <c r="L148" s="91">
        <f>+$L$13</f>
        <v>0</v>
      </c>
      <c r="M148" s="91">
        <f>+$M$13</f>
        <v>0</v>
      </c>
      <c r="N148" s="76"/>
      <c r="O148" s="81"/>
      <c r="P148" s="81"/>
      <c r="Q148" s="81"/>
      <c r="R148" s="81"/>
      <c r="S148" s="81"/>
    </row>
    <row r="149" spans="1:19" s="82" customFormat="1" ht="15" hidden="1" customHeight="1" x14ac:dyDescent="0.25">
      <c r="A149" s="90" t="s">
        <v>124</v>
      </c>
      <c r="B149" s="91">
        <f>+$B$34</f>
        <v>0</v>
      </c>
      <c r="C149" s="91">
        <f>+$C$34</f>
        <v>0</v>
      </c>
      <c r="D149" s="91">
        <f>+$D$34</f>
        <v>0</v>
      </c>
      <c r="E149" s="91">
        <f>+$E$34</f>
        <v>0</v>
      </c>
      <c r="F149" s="91">
        <f>+$F$34</f>
        <v>0</v>
      </c>
      <c r="G149" s="91">
        <f>+$G$34</f>
        <v>0</v>
      </c>
      <c r="H149" s="91">
        <f>+$H$34</f>
        <v>0</v>
      </c>
      <c r="I149" s="91">
        <f>+$I$34</f>
        <v>0</v>
      </c>
      <c r="J149" s="91">
        <f>+$J$34</f>
        <v>0</v>
      </c>
      <c r="K149" s="91">
        <f>+$K$34</f>
        <v>0</v>
      </c>
      <c r="L149" s="91">
        <f>+$L$34</f>
        <v>0</v>
      </c>
      <c r="M149" s="91">
        <f>+$M$34</f>
        <v>0</v>
      </c>
      <c r="N149" s="76"/>
      <c r="O149" s="81"/>
      <c r="P149" s="81"/>
      <c r="Q149" s="81"/>
      <c r="R149" s="81"/>
      <c r="S149" s="81"/>
    </row>
    <row r="150" spans="1:19" s="82" customFormat="1" ht="15" hidden="1" customHeight="1" x14ac:dyDescent="0.25">
      <c r="A150" s="88" t="s">
        <v>125</v>
      </c>
      <c r="B150" s="84">
        <f>SUM($B$148:$B$149)</f>
        <v>0</v>
      </c>
      <c r="C150" s="84">
        <f>SUM($C$148:$C$149)</f>
        <v>0</v>
      </c>
      <c r="D150" s="84">
        <f>SUM($D$148:$D$149)</f>
        <v>0</v>
      </c>
      <c r="E150" s="84">
        <f>SUM($E$148:$E$149)</f>
        <v>0</v>
      </c>
      <c r="F150" s="84">
        <f>SUM($F$148:$F$149)</f>
        <v>0</v>
      </c>
      <c r="G150" s="84">
        <f>SUM($G$148:$G$149)</f>
        <v>0</v>
      </c>
      <c r="H150" s="84">
        <f>SUM($H$148:$H$149)</f>
        <v>0</v>
      </c>
      <c r="I150" s="84">
        <f>SUM($I$148:$I$149)</f>
        <v>0</v>
      </c>
      <c r="J150" s="84">
        <f>SUM($J$148:$J$149)</f>
        <v>0</v>
      </c>
      <c r="K150" s="84">
        <f>SUM($K$148:$K$149)</f>
        <v>0</v>
      </c>
      <c r="L150" s="84">
        <f>SUM($L$148:$L$149)</f>
        <v>0</v>
      </c>
      <c r="M150" s="84">
        <f>SUM($M$148:$M$149)</f>
        <v>0</v>
      </c>
      <c r="N150" s="76"/>
      <c r="O150" s="81"/>
      <c r="P150" s="81"/>
      <c r="Q150" s="81"/>
      <c r="R150" s="81"/>
      <c r="S150" s="81"/>
    </row>
    <row r="151" spans="1:19" s="82" customFormat="1" ht="15" hidden="1" customHeight="1" x14ac:dyDescent="0.25">
      <c r="A151" s="90" t="s">
        <v>126</v>
      </c>
      <c r="B151" s="92">
        <f>IF($B$148&gt;0, $B$148/$B$150,0)</f>
        <v>0</v>
      </c>
      <c r="C151" s="92">
        <f>IF($C$148&gt;0, $C$148/$C$150,0)</f>
        <v>0</v>
      </c>
      <c r="D151" s="92">
        <f>IF($D$148&gt;0, $D$148/$D$150,0)</f>
        <v>0</v>
      </c>
      <c r="E151" s="92">
        <f>IF($E$148&gt;0, $E$148/$E$150,0)</f>
        <v>0</v>
      </c>
      <c r="F151" s="92">
        <f>IF($F$148&gt;0, $F$148/$F$150,0)</f>
        <v>0</v>
      </c>
      <c r="G151" s="92">
        <f>IF($G$148&gt;0, $G$148/$G$150,0)</f>
        <v>0</v>
      </c>
      <c r="H151" s="92">
        <f>IF($H$148&gt;0, $H$148/$H$150,0)</f>
        <v>0</v>
      </c>
      <c r="I151" s="92">
        <f>IF($I$148&gt;0, $I$148/$I$150,0)</f>
        <v>0</v>
      </c>
      <c r="J151" s="92">
        <f>IF($J$148&gt;0, $J$148/$J$150,0)</f>
        <v>0</v>
      </c>
      <c r="K151" s="92">
        <f>IF($K$148&gt;0, $K$148/$K$150,0)</f>
        <v>0</v>
      </c>
      <c r="L151" s="92">
        <f>IF($L$148&gt;0, $L$148/$L$150,0)</f>
        <v>0</v>
      </c>
      <c r="M151" s="92">
        <f>IF($M$148&gt;0, $M$148/$M$150,0)</f>
        <v>0</v>
      </c>
      <c r="N151" s="76"/>
      <c r="O151" s="83"/>
      <c r="P151" s="84"/>
      <c r="Q151" s="81"/>
      <c r="R151" s="81"/>
      <c r="S151" s="81"/>
    </row>
    <row r="152" spans="1:19" s="82" customFormat="1" ht="15" hidden="1" customHeight="1" x14ac:dyDescent="0.25">
      <c r="A152" s="90" t="s">
        <v>127</v>
      </c>
      <c r="B152" s="92">
        <f>IF($B$149&gt;0,+$B$149/$B$150,0)</f>
        <v>0</v>
      </c>
      <c r="C152" s="92">
        <f>IF($C$149&gt;0,+$C$149/$C$150,0)</f>
        <v>0</v>
      </c>
      <c r="D152" s="92">
        <f>IF($D$149&gt;0,+$D$149/$D$150,0)</f>
        <v>0</v>
      </c>
      <c r="E152" s="92">
        <f>IF($E$149&gt;0,+$E$149/$E$150,0)</f>
        <v>0</v>
      </c>
      <c r="F152" s="92">
        <f>IF($F$149&gt;0,+$F$149/$F$150,0)</f>
        <v>0</v>
      </c>
      <c r="G152" s="92">
        <f>IF($G$149&gt;0,+$G$149/$G$150,0)</f>
        <v>0</v>
      </c>
      <c r="H152" s="92">
        <f>IF($H$149&gt;0,+$H$149/$H$150,0)</f>
        <v>0</v>
      </c>
      <c r="I152" s="92">
        <f>IF($I$149&gt;0,+$I$149/$I$150,0)</f>
        <v>0</v>
      </c>
      <c r="J152" s="92">
        <f>IF($J$149&gt;0,+$J$149/$J$150,0)</f>
        <v>0</v>
      </c>
      <c r="K152" s="92">
        <f>IF($K$149&gt;0,+$K$149/$K$150,0)</f>
        <v>0</v>
      </c>
      <c r="L152" s="92">
        <f>IF($L$149&gt;0,+$L$149/$L$150,0)</f>
        <v>0</v>
      </c>
      <c r="M152" s="92">
        <f>IF($M$149&gt;0,+$M$149/$M$150,0)</f>
        <v>0</v>
      </c>
      <c r="N152" s="76"/>
      <c r="O152" s="83"/>
      <c r="P152" s="84"/>
      <c r="Q152" s="81"/>
      <c r="R152" s="81"/>
      <c r="S152" s="81"/>
    </row>
    <row r="153" spans="1:19" s="82" customFormat="1" ht="15" hidden="1" customHeight="1" x14ac:dyDescent="0.25">
      <c r="A153" s="88" t="s">
        <v>122</v>
      </c>
      <c r="B153" s="93">
        <f>+$B$146+$B$147</f>
        <v>0</v>
      </c>
      <c r="C153" s="93">
        <f>+$C$146+$C$147</f>
        <v>0</v>
      </c>
      <c r="D153" s="93">
        <f>+$D$146+$D$147</f>
        <v>0</v>
      </c>
      <c r="E153" s="93">
        <f>+$E$146+$E$147</f>
        <v>0</v>
      </c>
      <c r="F153" s="93">
        <f>+$F$146+$F$147</f>
        <v>0</v>
      </c>
      <c r="G153" s="93">
        <f>+$G$146+$G$147</f>
        <v>0</v>
      </c>
      <c r="H153" s="93">
        <f>+$H$146+$H$147</f>
        <v>0</v>
      </c>
      <c r="I153" s="93">
        <f>+$I$146+$I$147</f>
        <v>0</v>
      </c>
      <c r="J153" s="93">
        <f>+$J$146+$J$147</f>
        <v>0</v>
      </c>
      <c r="K153" s="93">
        <f>+$K$146+$K$147</f>
        <v>0</v>
      </c>
      <c r="L153" s="93">
        <f>+$L$146+$L$147</f>
        <v>0</v>
      </c>
      <c r="M153" s="93">
        <f>+$M$146+$M$147</f>
        <v>0</v>
      </c>
      <c r="N153" s="76"/>
      <c r="O153" s="83"/>
      <c r="P153" s="84"/>
      <c r="Q153" s="81"/>
      <c r="R153" s="81"/>
      <c r="S153" s="81"/>
    </row>
    <row r="154" spans="1:19" s="82" customFormat="1" ht="15" hidden="1" customHeight="1" x14ac:dyDescent="0.25">
      <c r="A154" s="90" t="s">
        <v>128</v>
      </c>
      <c r="B154" s="92">
        <f>+$B$153*$B$151</f>
        <v>0</v>
      </c>
      <c r="C154" s="92">
        <f>+$C$153*$C$151</f>
        <v>0</v>
      </c>
      <c r="D154" s="92">
        <f>+$D$153*$D$151</f>
        <v>0</v>
      </c>
      <c r="E154" s="92">
        <f>+$E$153*$E$151</f>
        <v>0</v>
      </c>
      <c r="F154" s="92">
        <f>+$F$153*$F$151</f>
        <v>0</v>
      </c>
      <c r="G154" s="92">
        <f>+$G$153*$G$151</f>
        <v>0</v>
      </c>
      <c r="H154" s="92">
        <f>+$H$153*$H$151</f>
        <v>0</v>
      </c>
      <c r="I154" s="92">
        <f>+$I$153*$I$151</f>
        <v>0</v>
      </c>
      <c r="J154" s="92">
        <f>+$J$153*$J$151</f>
        <v>0</v>
      </c>
      <c r="K154" s="92">
        <f>+$K$153*$K$151</f>
        <v>0</v>
      </c>
      <c r="L154" s="92">
        <f>+$L$153*$L$151</f>
        <v>0</v>
      </c>
      <c r="M154" s="92">
        <f>+$M$153*$M$151</f>
        <v>0</v>
      </c>
      <c r="N154" s="76"/>
      <c r="O154" s="83"/>
      <c r="P154" s="84"/>
      <c r="Q154" s="81"/>
      <c r="R154" s="81"/>
      <c r="S154" s="81"/>
    </row>
    <row r="155" spans="1:19" s="82" customFormat="1" ht="15" hidden="1" customHeight="1" x14ac:dyDescent="0.25">
      <c r="A155" s="90" t="s">
        <v>129</v>
      </c>
      <c r="B155" s="92">
        <f>+$B$153*$B$152</f>
        <v>0</v>
      </c>
      <c r="C155" s="92">
        <f>+$C$153*$C$152</f>
        <v>0</v>
      </c>
      <c r="D155" s="92">
        <f>+$D$153*$D$152</f>
        <v>0</v>
      </c>
      <c r="E155" s="92">
        <f>+$E$153*$E$152</f>
        <v>0</v>
      </c>
      <c r="F155" s="92">
        <f>+$F$153*$F$152</f>
        <v>0</v>
      </c>
      <c r="G155" s="92">
        <f>+$G$153*$G$152</f>
        <v>0</v>
      </c>
      <c r="H155" s="92">
        <f>+$H$153*$H$152</f>
        <v>0</v>
      </c>
      <c r="I155" s="92">
        <f>+$I$153*$I$152</f>
        <v>0</v>
      </c>
      <c r="J155" s="92">
        <f>+$J$153*$J$152</f>
        <v>0</v>
      </c>
      <c r="K155" s="92">
        <f>+$K$153*$K$152</f>
        <v>0</v>
      </c>
      <c r="L155" s="92">
        <f>+$L$153*$L$152</f>
        <v>0</v>
      </c>
      <c r="M155" s="92">
        <f>+$M$153*$M$152</f>
        <v>0</v>
      </c>
      <c r="N155" s="76"/>
      <c r="O155" s="81"/>
      <c r="P155" s="81"/>
      <c r="Q155" s="81"/>
      <c r="R155" s="81"/>
      <c r="S155" s="81"/>
    </row>
    <row r="157" spans="1:19" x14ac:dyDescent="0.25">
      <c r="A157" s="4" t="s">
        <v>134</v>
      </c>
      <c r="B157" s="8" t="s">
        <v>138</v>
      </c>
    </row>
    <row r="158" spans="1:19" x14ac:dyDescent="0.25">
      <c r="A158" s="9" t="s">
        <v>135</v>
      </c>
      <c r="B158" s="136">
        <v>11</v>
      </c>
      <c r="C158" s="135">
        <f>+B158/100</f>
        <v>0.11</v>
      </c>
    </row>
    <row r="159" spans="1:19" x14ac:dyDescent="0.25">
      <c r="A159" s="9" t="s">
        <v>136</v>
      </c>
      <c r="B159" s="136">
        <v>3</v>
      </c>
      <c r="C159" s="135">
        <f>+B159/100</f>
        <v>0.03</v>
      </c>
    </row>
    <row r="160" spans="1:19" x14ac:dyDescent="0.25">
      <c r="A160" s="9" t="s">
        <v>137</v>
      </c>
      <c r="B160" s="136">
        <v>3</v>
      </c>
      <c r="C160" s="135">
        <f>+B160/100</f>
        <v>0.03</v>
      </c>
    </row>
    <row r="161" spans="1:3" x14ac:dyDescent="0.25">
      <c r="C161" s="2">
        <f>1-C158-C159-C160</f>
        <v>0.83</v>
      </c>
    </row>
    <row r="162" spans="1:3" s="138" customFormat="1" x14ac:dyDescent="0.25">
      <c r="A162" s="137"/>
    </row>
  </sheetData>
  <sheetProtection algorithmName="SHA-512" hashValue="X1S+krBKUKPGKF0CnjpVLQxXmJGBY/OHgK28WG75MWlI0dzD14nidtd3erug7FRk/EBKfzBGxXfmYjUfdaDPIg==" saltValue="T8OuW403AM9PHGau/C6N2Q==" spinCount="100000" sheet="1" objects="1" scenarios="1"/>
  <dataConsolidate>
    <dataRefs count="1">
      <dataRef ref="B66" sheet="Planilla de Liquidación"/>
    </dataRefs>
  </dataConsolidate>
  <mergeCells count="1">
    <mergeCell ref="K4:M4"/>
  </mergeCells>
  <phoneticPr fontId="6" type="noConversion"/>
  <dataValidations count="5">
    <dataValidation type="list" allowBlank="1" showInputMessage="1" showErrorMessage="1" sqref="B102" xr:uid="{00000000-0002-0000-0000-000000000000}">
      <formula1>"0,1"</formula1>
    </dataValidation>
    <dataValidation type="whole" allowBlank="1" showInputMessage="1" showErrorMessage="1" sqref="B158" xr:uid="{00000000-0002-0000-0000-000001000000}">
      <formula1>0</formula1>
      <formula2>22</formula2>
    </dataValidation>
    <dataValidation type="whole" allowBlank="1" showInputMessage="1" showErrorMessage="1" sqref="B159:B160" xr:uid="{00000000-0002-0000-0000-000002000000}">
      <formula1>0</formula1>
      <formula2>6</formula2>
    </dataValidation>
    <dataValidation type="whole" allowBlank="1" showInputMessage="1" showErrorMessage="1" sqref="C102 C104:C109 C111:C113" xr:uid="{88F728ED-207D-433F-97D4-71E902FC6E89}">
      <formula1>1</formula1>
      <formula2>12</formula2>
    </dataValidation>
    <dataValidation type="list" allowBlank="1" showInputMessage="1" showErrorMessage="1" sqref="B104:B109 B111:B113" xr:uid="{5BA9452D-2028-4C69-A3CB-A48D58D91C2D}">
      <formula1>$B$114:$B$116</formula1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6"/>
  <sheetViews>
    <sheetView topLeftCell="A109" zoomScaleNormal="100" workbookViewId="0">
      <selection activeCell="D4" sqref="D4"/>
    </sheetView>
  </sheetViews>
  <sheetFormatPr baseColWidth="10" defaultColWidth="13.42578125" defaultRowHeight="15" x14ac:dyDescent="0.25"/>
  <cols>
    <col min="1" max="2" width="13.42578125" style="1"/>
    <col min="3" max="3" width="14.5703125" style="1" bestFit="1" customWidth="1"/>
    <col min="4" max="16384" width="13.42578125" style="1"/>
  </cols>
  <sheetData>
    <row r="1" spans="1:15" x14ac:dyDescent="0.25">
      <c r="A1" s="2"/>
      <c r="B1" s="2"/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15.75" thickBot="1" x14ac:dyDescent="0.3">
      <c r="A2" s="177" t="s">
        <v>100</v>
      </c>
      <c r="B2" s="178"/>
      <c r="C2" s="179"/>
      <c r="D2" s="133">
        <f>'Planilla de Liquidación'!B94</f>
        <v>0</v>
      </c>
      <c r="E2" s="133">
        <f>'Planilla de Liquidación'!C94</f>
        <v>0</v>
      </c>
      <c r="F2" s="133">
        <f>'Planilla de Liquidación'!D94</f>
        <v>0</v>
      </c>
      <c r="G2" s="133">
        <f>'Planilla de Liquidación'!E94</f>
        <v>0</v>
      </c>
      <c r="H2" s="133">
        <f>'Planilla de Liquidación'!F94</f>
        <v>0</v>
      </c>
      <c r="I2" s="133">
        <f>'Planilla de Liquidación'!G94</f>
        <v>0</v>
      </c>
      <c r="J2" s="133">
        <f>'Planilla de Liquidación'!H94</f>
        <v>0</v>
      </c>
      <c r="K2" s="133">
        <f>'Planilla de Liquidación'!I94</f>
        <v>0</v>
      </c>
      <c r="L2" s="133">
        <f>'Planilla de Liquidación'!J94</f>
        <v>0</v>
      </c>
      <c r="M2" s="133">
        <f>'Planilla de Liquidación'!K94</f>
        <v>0</v>
      </c>
      <c r="N2" s="133">
        <f>'Planilla de Liquidación'!L94</f>
        <v>0</v>
      </c>
      <c r="O2" s="133">
        <f>'Planilla de Liquidación'!M94</f>
        <v>0</v>
      </c>
    </row>
    <row r="3" spans="1:15" ht="15.75" thickBot="1" x14ac:dyDescent="0.3">
      <c r="A3" s="185" t="s">
        <v>101</v>
      </c>
      <c r="B3" s="186"/>
      <c r="C3" s="187"/>
      <c r="D3" s="133">
        <f>D2-(('Planilla de Liquidación'!B9+'Planilla de Liquidación'!B32)-(('Planilla de Liquidación'!B9+'Planilla de Liquidación'!B32)*0.17))</f>
        <v>0</v>
      </c>
      <c r="E3" s="133">
        <f>E2-(('Planilla de Liquidación'!C9+'Planilla de Liquidación'!C32)-(('Planilla de Liquidación'!C9+'Planilla de Liquidación'!C32)*0.17))</f>
        <v>0</v>
      </c>
      <c r="F3" s="133">
        <f>F2-(('Planilla de Liquidación'!D9+'Planilla de Liquidación'!D32)-(('Planilla de Liquidación'!D9+'Planilla de Liquidación'!D32)*0.17))</f>
        <v>0</v>
      </c>
      <c r="G3" s="133">
        <f>G2-(('Planilla de Liquidación'!E9+'Planilla de Liquidación'!E32)-(('Planilla de Liquidación'!E9+'Planilla de Liquidación'!E32)*0.17))</f>
        <v>0</v>
      </c>
      <c r="H3" s="133">
        <f>H2-(('Planilla de Liquidación'!F9+'Planilla de Liquidación'!F32)-(('Planilla de Liquidación'!F9+'Planilla de Liquidación'!F32)*0.17))</f>
        <v>0</v>
      </c>
      <c r="I3" s="133">
        <f>I2-(('Planilla de Liquidación'!G9+'Planilla de Liquidación'!G32)-(('Planilla de Liquidación'!G9+'Planilla de Liquidación'!G32)*0.17))</f>
        <v>0</v>
      </c>
      <c r="J3" s="133">
        <f>J2-(('Planilla de Liquidación'!H9+'Planilla de Liquidación'!H32)-(('Planilla de Liquidación'!H9+'Planilla de Liquidación'!H32)*0.17))</f>
        <v>0</v>
      </c>
      <c r="K3" s="133">
        <f>K2-(('Planilla de Liquidación'!I9+'Planilla de Liquidación'!I32)-(('Planilla de Liquidación'!I9+'Planilla de Liquidación'!I32)*0.17))</f>
        <v>0</v>
      </c>
      <c r="L3" s="133">
        <f>L2-(('Planilla de Liquidación'!J9+'Planilla de Liquidación'!J32)-(('Planilla de Liquidación'!J9+'Planilla de Liquidación'!J32)*0.17))</f>
        <v>0</v>
      </c>
      <c r="M3" s="133">
        <f>M2-(('Planilla de Liquidación'!K9+'Planilla de Liquidación'!K32)-(('Planilla de Liquidación'!K9+'Planilla de Liquidación'!K32)*0.17))</f>
        <v>0</v>
      </c>
      <c r="N3" s="133">
        <f>N2-(('Planilla de Liquidación'!L9+'Planilla de Liquidación'!L32)-(('Planilla de Liquidación'!L9+'Planilla de Liquidación'!L32)*0.17))</f>
        <v>0</v>
      </c>
      <c r="O3" s="133">
        <f>O2-(('Planilla de Liquidación'!M9+'Planilla de Liquidación'!M32)-(('Planilla de Liquidación'!M9+'Planilla de Liquidación'!M32)*0.17))</f>
        <v>0</v>
      </c>
    </row>
    <row r="4" spans="1:15" ht="15.75" thickBot="1" x14ac:dyDescent="0.3">
      <c r="A4" s="180" t="s">
        <v>102</v>
      </c>
      <c r="B4" s="181"/>
      <c r="C4" s="182"/>
      <c r="D4" s="134">
        <f>IFERROR(LOOKUP(D3,$B$9:$C$17,$D$9:$D$17)+((LOOKUP(D3,$B$9:$C$17,$E$9:$E$17)*(D2-LOOKUP(D3,$B$9:$C$17,$F$9:$F$17)))),0)</f>
        <v>0</v>
      </c>
      <c r="E4" s="134">
        <f>IFERROR(LOOKUP(E3,$B$18:$C$26,$D$18:$D$26)+((LOOKUP(E3,$B$18:$C$26,$E$18:$E$26)*(E2-LOOKUP(E3,$B$18:$C$26,$F$18:$F$26)))),0)</f>
        <v>0</v>
      </c>
      <c r="F4" s="134">
        <f>IFERROR(LOOKUP(F3,$B$27:$C$35,$D$27:$D$35)+((LOOKUP(F3,$B$27:$C$35,$E$27:$E$35)*(F2-LOOKUP(F3,$B$27:$C$35,$F$27:$F$35)))),0)</f>
        <v>0</v>
      </c>
      <c r="G4" s="134">
        <f>IFERROR(LOOKUP(G3,$B$36:$C$44,$D$36:$D$44)+((LOOKUP(G3,$B$36:$C$44,$E$36:$E$44)*(G2-LOOKUP(G3,$B$36:$C$44,$F$36:$F$44)))),0)</f>
        <v>0</v>
      </c>
      <c r="H4" s="134">
        <f>IFERROR(LOOKUP(H3,$B$45:$C$53,$D$45:$D$53)+((LOOKUP(H3,$B$45:$C$53,$E$45:$E$53)*(H2-LOOKUP(H3,$B$45:$C$53,$F$45:$F$53)))),0)</f>
        <v>0</v>
      </c>
      <c r="I4" s="134">
        <f>IFERROR(LOOKUP(I3,$B$54:$C$62,$D$54:$D$62)+((LOOKUP(I3,$B$54:$C$62,$E$54:$E$62)*(I2-LOOKUP(I3,$B$54:$C$62,$F$54:$F$62)))),0)</f>
        <v>0</v>
      </c>
      <c r="J4" s="134">
        <f>IFERROR(LOOKUP(J3,$B$63:$C$71,$D$63:$D$71)+((LOOKUP(J3,$B$63:$C$71,$E$63:$E$71)*(J2-LOOKUP(J3,$B$63:$C$71,$F$63:$F$71)))),0)</f>
        <v>0</v>
      </c>
      <c r="K4" s="134">
        <f>IFERROR(LOOKUP(K3,$B$72:$C$80,$D$72:$D$80)+((LOOKUP(K3,$B$72:$C$80,$E$72:$E$80)*(K2-LOOKUP(K3,$B$72:$C$80,$F$72:$F$80)))),0)</f>
        <v>0</v>
      </c>
      <c r="L4" s="134">
        <f>IFERROR(LOOKUP(L3,$B$81:$C$89,$D$81:$D$89)+((LOOKUP(L3,$B$81:$C$89,$E$81:$E$89)*(L2-LOOKUP(L3,$B$81:$C$89,$F$81:$F$89)))),0)</f>
        <v>0</v>
      </c>
      <c r="M4" s="134">
        <f>IFERROR(LOOKUP(M3,$B$90:$C$98,$D$90:$D$98)+((LOOKUP(M3,$B$90:$C$98,$E$90:$E$98)*(M2-LOOKUP(M3,$B$90:$C$98,$F$90:$F$98)))),0)</f>
        <v>0</v>
      </c>
      <c r="N4" s="134">
        <f>IFERROR(LOOKUP(N3,$B$99:$C$107,$D$99:$D$107)+((LOOKUP(N3,$B$99:$C$107,$E$99:$E$107)*(N2-LOOKUP(N3,$B$99:$C$107,$F$99:$F$107)))),0)</f>
        <v>0</v>
      </c>
      <c r="O4" s="134">
        <f>IFERROR(LOOKUP(O3,$B$108:$C$116,$D$108:$D$116)+((LOOKUP(O3,$B$108:$C$116,$E$108:$E$116)*(O2-LOOKUP(O3,$B$108:$C$116,$F$108:$F$116)))),0)</f>
        <v>0</v>
      </c>
    </row>
    <row r="6" spans="1:15" ht="16.5" customHeight="1" x14ac:dyDescent="0.25">
      <c r="A6" s="183" t="s">
        <v>103</v>
      </c>
      <c r="B6" s="165"/>
      <c r="C6" s="184"/>
      <c r="D6" s="164" t="s">
        <v>104</v>
      </c>
      <c r="E6" s="165"/>
      <c r="F6" s="166"/>
    </row>
    <row r="7" spans="1:15" ht="19.5" customHeight="1" thickBot="1" x14ac:dyDescent="0.3">
      <c r="A7" s="170" t="s">
        <v>105</v>
      </c>
      <c r="B7" s="172" t="s">
        <v>106</v>
      </c>
      <c r="C7" s="173"/>
      <c r="D7" s="174" t="s">
        <v>107</v>
      </c>
      <c r="E7" s="175"/>
      <c r="F7" s="176"/>
    </row>
    <row r="8" spans="1:15" ht="45.75" thickBot="1" x14ac:dyDescent="0.3">
      <c r="A8" s="171"/>
      <c r="B8" s="148" t="s">
        <v>108</v>
      </c>
      <c r="C8" s="148" t="s">
        <v>109</v>
      </c>
      <c r="D8" s="148" t="s">
        <v>110</v>
      </c>
      <c r="E8" s="148" t="s">
        <v>111</v>
      </c>
      <c r="F8" s="149" t="s">
        <v>112</v>
      </c>
      <c r="N8" s="1">
        <v>7048</v>
      </c>
    </row>
    <row r="9" spans="1:15" ht="15.75" thickBot="1" x14ac:dyDescent="0.3">
      <c r="A9" s="167" t="s">
        <v>2</v>
      </c>
      <c r="B9" s="150">
        <v>0</v>
      </c>
      <c r="C9" s="151">
        <v>8100.17</v>
      </c>
      <c r="D9" s="150">
        <v>0</v>
      </c>
      <c r="E9" s="152">
        <v>0.05</v>
      </c>
      <c r="F9" s="153">
        <v>0</v>
      </c>
    </row>
    <row r="10" spans="1:15" ht="15.75" thickBot="1" x14ac:dyDescent="0.3">
      <c r="A10" s="168"/>
      <c r="B10" s="18">
        <v>8100.17</v>
      </c>
      <c r="C10" s="18">
        <v>16200.33</v>
      </c>
      <c r="D10" s="18">
        <v>405.01</v>
      </c>
      <c r="E10" s="19">
        <v>0.09</v>
      </c>
      <c r="F10" s="154">
        <v>8100.17</v>
      </c>
      <c r="G10" s="56"/>
      <c r="H10" s="56"/>
    </row>
    <row r="11" spans="1:15" ht="15.75" thickBot="1" x14ac:dyDescent="0.3">
      <c r="A11" s="168"/>
      <c r="B11" s="18">
        <v>16200.33</v>
      </c>
      <c r="C11" s="18">
        <v>24300.5</v>
      </c>
      <c r="D11" s="18">
        <v>1134.02</v>
      </c>
      <c r="E11" s="19">
        <v>0.12</v>
      </c>
      <c r="F11" s="154">
        <v>16200.33</v>
      </c>
      <c r="G11" s="56"/>
      <c r="H11" s="56"/>
    </row>
    <row r="12" spans="1:15" ht="15.75" thickBot="1" x14ac:dyDescent="0.3">
      <c r="A12" s="168"/>
      <c r="B12" s="18">
        <v>24300.5</v>
      </c>
      <c r="C12" s="18">
        <v>32400.67</v>
      </c>
      <c r="D12" s="18">
        <v>2106.04</v>
      </c>
      <c r="E12" s="19">
        <v>0.15</v>
      </c>
      <c r="F12" s="154">
        <v>24300.5</v>
      </c>
    </row>
    <row r="13" spans="1:15" ht="15.75" thickBot="1" x14ac:dyDescent="0.3">
      <c r="A13" s="168"/>
      <c r="B13" s="18">
        <v>32400.67</v>
      </c>
      <c r="C13" s="18">
        <v>48601</v>
      </c>
      <c r="D13" s="18">
        <v>3321.07</v>
      </c>
      <c r="E13" s="19">
        <v>0.19</v>
      </c>
      <c r="F13" s="154">
        <v>32400.67</v>
      </c>
    </row>
    <row r="14" spans="1:15" ht="15.75" thickBot="1" x14ac:dyDescent="0.3">
      <c r="A14" s="168"/>
      <c r="B14" s="18">
        <v>48601</v>
      </c>
      <c r="C14" s="18">
        <v>64801.33</v>
      </c>
      <c r="D14" s="18">
        <v>6399.13</v>
      </c>
      <c r="E14" s="19">
        <v>0.23</v>
      </c>
      <c r="F14" s="154">
        <v>48601</v>
      </c>
    </row>
    <row r="15" spans="1:15" ht="15.75" thickBot="1" x14ac:dyDescent="0.3">
      <c r="A15" s="168"/>
      <c r="B15" s="18">
        <v>64801.33</v>
      </c>
      <c r="C15" s="18">
        <v>97202</v>
      </c>
      <c r="D15" s="18">
        <v>10125.209999999999</v>
      </c>
      <c r="E15" s="19">
        <v>0.27</v>
      </c>
      <c r="F15" s="154">
        <v>64801.33</v>
      </c>
    </row>
    <row r="16" spans="1:15" ht="15.75" thickBot="1" x14ac:dyDescent="0.3">
      <c r="A16" s="168"/>
      <c r="B16" s="18">
        <v>97202</v>
      </c>
      <c r="C16" s="18">
        <v>129602.67</v>
      </c>
      <c r="D16" s="18">
        <v>18873.39</v>
      </c>
      <c r="E16" s="19">
        <v>0.31</v>
      </c>
      <c r="F16" s="154">
        <v>97202</v>
      </c>
    </row>
    <row r="17" spans="1:6" ht="15.75" thickBot="1" x14ac:dyDescent="0.3">
      <c r="A17" s="169"/>
      <c r="B17" s="155">
        <v>129602.67</v>
      </c>
      <c r="C17" s="156" t="s">
        <v>113</v>
      </c>
      <c r="D17" s="155">
        <v>28917.599999999999</v>
      </c>
      <c r="E17" s="157">
        <v>0.35</v>
      </c>
      <c r="F17" s="158">
        <v>129602.67</v>
      </c>
    </row>
    <row r="18" spans="1:6" ht="15.75" thickBot="1" x14ac:dyDescent="0.3">
      <c r="A18" s="167" t="s">
        <v>3</v>
      </c>
      <c r="B18" s="150">
        <v>0</v>
      </c>
      <c r="C18" s="151">
        <v>16200.33</v>
      </c>
      <c r="D18" s="150">
        <v>0</v>
      </c>
      <c r="E18" s="152">
        <v>0.05</v>
      </c>
      <c r="F18" s="153">
        <v>0</v>
      </c>
    </row>
    <row r="19" spans="1:6" ht="15.75" thickBot="1" x14ac:dyDescent="0.3">
      <c r="A19" s="168"/>
      <c r="B19" s="18">
        <v>16200.33</v>
      </c>
      <c r="C19" s="18">
        <v>32400.67</v>
      </c>
      <c r="D19" s="18">
        <v>810.02</v>
      </c>
      <c r="E19" s="19">
        <v>0.09</v>
      </c>
      <c r="F19" s="154">
        <v>16200.33</v>
      </c>
    </row>
    <row r="20" spans="1:6" ht="15.75" thickBot="1" x14ac:dyDescent="0.3">
      <c r="A20" s="168"/>
      <c r="B20" s="18">
        <v>32400.67</v>
      </c>
      <c r="C20" s="18">
        <v>48601</v>
      </c>
      <c r="D20" s="18">
        <v>2268.0500000000002</v>
      </c>
      <c r="E20" s="19">
        <v>0.12</v>
      </c>
      <c r="F20" s="154">
        <v>32400.67</v>
      </c>
    </row>
    <row r="21" spans="1:6" ht="15.75" thickBot="1" x14ac:dyDescent="0.3">
      <c r="A21" s="168"/>
      <c r="B21" s="18">
        <v>48601</v>
      </c>
      <c r="C21" s="18">
        <v>64801.34</v>
      </c>
      <c r="D21" s="18">
        <v>4212.09</v>
      </c>
      <c r="E21" s="19">
        <v>0.15</v>
      </c>
      <c r="F21" s="154">
        <v>48601</v>
      </c>
    </row>
    <row r="22" spans="1:6" ht="15.75" thickBot="1" x14ac:dyDescent="0.3">
      <c r="A22" s="168"/>
      <c r="B22" s="18">
        <v>64801.34</v>
      </c>
      <c r="C22" s="18">
        <v>97202</v>
      </c>
      <c r="D22" s="18">
        <v>6642.14</v>
      </c>
      <c r="E22" s="19">
        <v>0.19</v>
      </c>
      <c r="F22" s="154">
        <v>64801.34</v>
      </c>
    </row>
    <row r="23" spans="1:6" ht="15.75" thickBot="1" x14ac:dyDescent="0.3">
      <c r="A23" s="168"/>
      <c r="B23" s="18">
        <v>97202</v>
      </c>
      <c r="C23" s="18">
        <v>129602.67</v>
      </c>
      <c r="D23" s="18">
        <v>12798.26</v>
      </c>
      <c r="E23" s="19">
        <v>0.23</v>
      </c>
      <c r="F23" s="154">
        <v>97202</v>
      </c>
    </row>
    <row r="24" spans="1:6" ht="15.75" thickBot="1" x14ac:dyDescent="0.3">
      <c r="A24" s="168"/>
      <c r="B24" s="18">
        <v>129602.67</v>
      </c>
      <c r="C24" s="18">
        <v>194404</v>
      </c>
      <c r="D24" s="18">
        <v>20250.419999999998</v>
      </c>
      <c r="E24" s="19">
        <v>0.27</v>
      </c>
      <c r="F24" s="154">
        <v>129602.67</v>
      </c>
    </row>
    <row r="25" spans="1:6" ht="15.75" thickBot="1" x14ac:dyDescent="0.3">
      <c r="A25" s="168"/>
      <c r="B25" s="18">
        <v>194404</v>
      </c>
      <c r="C25" s="18">
        <v>259205.34</v>
      </c>
      <c r="D25" s="18">
        <v>37746.78</v>
      </c>
      <c r="E25" s="19">
        <v>0.31</v>
      </c>
      <c r="F25" s="154">
        <v>194404</v>
      </c>
    </row>
    <row r="26" spans="1:6" ht="15.75" thickBot="1" x14ac:dyDescent="0.3">
      <c r="A26" s="169"/>
      <c r="B26" s="155">
        <v>259205.34</v>
      </c>
      <c r="C26" s="156" t="s">
        <v>113</v>
      </c>
      <c r="D26" s="155">
        <v>57835.19</v>
      </c>
      <c r="E26" s="157">
        <v>0.35</v>
      </c>
      <c r="F26" s="158">
        <v>259205.34</v>
      </c>
    </row>
    <row r="27" spans="1:6" ht="15.75" thickBot="1" x14ac:dyDescent="0.3">
      <c r="A27" s="167" t="s">
        <v>4</v>
      </c>
      <c r="B27" s="150">
        <v>0</v>
      </c>
      <c r="C27" s="151">
        <v>24300.5</v>
      </c>
      <c r="D27" s="150">
        <v>0</v>
      </c>
      <c r="E27" s="152">
        <v>0.05</v>
      </c>
      <c r="F27" s="153">
        <v>0</v>
      </c>
    </row>
    <row r="28" spans="1:6" ht="15.75" thickBot="1" x14ac:dyDescent="0.3">
      <c r="A28" s="168"/>
      <c r="B28" s="18">
        <v>24300.5</v>
      </c>
      <c r="C28" s="18">
        <v>48601</v>
      </c>
      <c r="D28" s="18">
        <v>1215.02</v>
      </c>
      <c r="E28" s="19">
        <v>0.09</v>
      </c>
      <c r="F28" s="154">
        <v>24300.5</v>
      </c>
    </row>
    <row r="29" spans="1:6" ht="15.75" thickBot="1" x14ac:dyDescent="0.3">
      <c r="A29" s="168"/>
      <c r="B29" s="18">
        <v>48601</v>
      </c>
      <c r="C29" s="18">
        <v>72901.5</v>
      </c>
      <c r="D29" s="18">
        <v>3402.07</v>
      </c>
      <c r="E29" s="19">
        <v>0.12</v>
      </c>
      <c r="F29" s="154">
        <v>48601</v>
      </c>
    </row>
    <row r="30" spans="1:6" ht="15.75" thickBot="1" x14ac:dyDescent="0.3">
      <c r="A30" s="168"/>
      <c r="B30" s="18">
        <v>72901.5</v>
      </c>
      <c r="C30" s="18">
        <v>97202.01</v>
      </c>
      <c r="D30" s="18">
        <v>6318.13</v>
      </c>
      <c r="E30" s="19">
        <v>0.15</v>
      </c>
      <c r="F30" s="154">
        <v>72901.5</v>
      </c>
    </row>
    <row r="31" spans="1:6" ht="15.75" thickBot="1" x14ac:dyDescent="0.3">
      <c r="A31" s="168"/>
      <c r="B31" s="18">
        <v>97202.01</v>
      </c>
      <c r="C31" s="18">
        <v>145803.01</v>
      </c>
      <c r="D31" s="18">
        <v>9963.2099999999991</v>
      </c>
      <c r="E31" s="19">
        <v>0.19</v>
      </c>
      <c r="F31" s="154">
        <v>97202.01</v>
      </c>
    </row>
    <row r="32" spans="1:6" ht="15.75" thickBot="1" x14ac:dyDescent="0.3">
      <c r="A32" s="168"/>
      <c r="B32" s="18">
        <v>145803.01</v>
      </c>
      <c r="C32" s="18">
        <v>194404</v>
      </c>
      <c r="D32" s="18">
        <v>19197.400000000001</v>
      </c>
      <c r="E32" s="19">
        <v>0.23</v>
      </c>
      <c r="F32" s="154">
        <v>145803.01</v>
      </c>
    </row>
    <row r="33" spans="1:6" ht="15.75" thickBot="1" x14ac:dyDescent="0.3">
      <c r="A33" s="168"/>
      <c r="B33" s="18">
        <v>194404</v>
      </c>
      <c r="C33" s="18">
        <v>291606.01</v>
      </c>
      <c r="D33" s="18">
        <v>30375.63</v>
      </c>
      <c r="E33" s="19">
        <v>0.27</v>
      </c>
      <c r="F33" s="154">
        <v>194404</v>
      </c>
    </row>
    <row r="34" spans="1:6" ht="15.75" thickBot="1" x14ac:dyDescent="0.3">
      <c r="A34" s="168"/>
      <c r="B34" s="18">
        <v>291606.01</v>
      </c>
      <c r="C34" s="18">
        <v>388808.02</v>
      </c>
      <c r="D34" s="18">
        <v>56620.17</v>
      </c>
      <c r="E34" s="19">
        <v>0.31</v>
      </c>
      <c r="F34" s="154">
        <v>291606.01</v>
      </c>
    </row>
    <row r="35" spans="1:6" ht="15.75" thickBot="1" x14ac:dyDescent="0.3">
      <c r="A35" s="169"/>
      <c r="B35" s="155">
        <v>388808.02</v>
      </c>
      <c r="C35" s="156" t="s">
        <v>113</v>
      </c>
      <c r="D35" s="155">
        <v>86752.79</v>
      </c>
      <c r="E35" s="157">
        <v>0.35</v>
      </c>
      <c r="F35" s="158">
        <v>388808.02</v>
      </c>
    </row>
    <row r="36" spans="1:6" ht="15.75" thickBot="1" x14ac:dyDescent="0.3">
      <c r="A36" s="167" t="s">
        <v>5</v>
      </c>
      <c r="B36" s="150">
        <v>0</v>
      </c>
      <c r="C36" s="151">
        <v>32400.67</v>
      </c>
      <c r="D36" s="150">
        <v>0</v>
      </c>
      <c r="E36" s="152">
        <v>0.05</v>
      </c>
      <c r="F36" s="153">
        <v>0</v>
      </c>
    </row>
    <row r="37" spans="1:6" ht="15.75" customHeight="1" thickBot="1" x14ac:dyDescent="0.3">
      <c r="A37" s="168"/>
      <c r="B37" s="18">
        <v>32400.67</v>
      </c>
      <c r="C37" s="18">
        <v>64801.34</v>
      </c>
      <c r="D37" s="18">
        <v>1620.03</v>
      </c>
      <c r="E37" s="19">
        <v>0.09</v>
      </c>
      <c r="F37" s="154">
        <v>32400.67</v>
      </c>
    </row>
    <row r="38" spans="1:6" ht="15.75" customHeight="1" thickBot="1" x14ac:dyDescent="0.3">
      <c r="A38" s="168"/>
      <c r="B38" s="18">
        <v>64801.34</v>
      </c>
      <c r="C38" s="18">
        <v>97202</v>
      </c>
      <c r="D38" s="18">
        <v>4536.09</v>
      </c>
      <c r="E38" s="19">
        <v>0.12</v>
      </c>
      <c r="F38" s="154">
        <v>64801.34</v>
      </c>
    </row>
    <row r="39" spans="1:6" ht="15.75" customHeight="1" thickBot="1" x14ac:dyDescent="0.3">
      <c r="A39" s="168"/>
      <c r="B39" s="18">
        <v>97202</v>
      </c>
      <c r="C39" s="18">
        <v>129602.67</v>
      </c>
      <c r="D39" s="18">
        <v>8424.17</v>
      </c>
      <c r="E39" s="19">
        <v>0.15</v>
      </c>
      <c r="F39" s="154">
        <v>97202</v>
      </c>
    </row>
    <row r="40" spans="1:6" ht="15.75" customHeight="1" thickBot="1" x14ac:dyDescent="0.3">
      <c r="A40" s="168"/>
      <c r="B40" s="18">
        <v>129602.67</v>
      </c>
      <c r="C40" s="18">
        <v>194404.01</v>
      </c>
      <c r="D40" s="18">
        <v>13284.27</v>
      </c>
      <c r="E40" s="19">
        <v>0.19</v>
      </c>
      <c r="F40" s="154">
        <v>129602.67</v>
      </c>
    </row>
    <row r="41" spans="1:6" ht="15.75" customHeight="1" thickBot="1" x14ac:dyDescent="0.3">
      <c r="A41" s="168"/>
      <c r="B41" s="18">
        <v>194404.01</v>
      </c>
      <c r="C41" s="18">
        <v>259205.34</v>
      </c>
      <c r="D41" s="18">
        <v>25596.53</v>
      </c>
      <c r="E41" s="19">
        <v>0.23</v>
      </c>
      <c r="F41" s="154">
        <v>194404.01</v>
      </c>
    </row>
    <row r="42" spans="1:6" ht="15.75" customHeight="1" thickBot="1" x14ac:dyDescent="0.3">
      <c r="A42" s="168"/>
      <c r="B42" s="18">
        <v>259205.34</v>
      </c>
      <c r="C42" s="18">
        <v>388808.01</v>
      </c>
      <c r="D42" s="18">
        <v>40500.83</v>
      </c>
      <c r="E42" s="19">
        <v>0.27</v>
      </c>
      <c r="F42" s="154">
        <v>259205.34</v>
      </c>
    </row>
    <row r="43" spans="1:6" ht="15.75" customHeight="1" thickBot="1" x14ac:dyDescent="0.3">
      <c r="A43" s="168"/>
      <c r="B43" s="18">
        <v>388808.01</v>
      </c>
      <c r="C43" s="18">
        <v>518410.69</v>
      </c>
      <c r="D43" s="18">
        <v>75493.55</v>
      </c>
      <c r="E43" s="19">
        <v>0.31</v>
      </c>
      <c r="F43" s="154">
        <v>388808.01</v>
      </c>
    </row>
    <row r="44" spans="1:6" ht="15.75" customHeight="1" thickBot="1" x14ac:dyDescent="0.3">
      <c r="A44" s="169"/>
      <c r="B44" s="155">
        <v>518410.69</v>
      </c>
      <c r="C44" s="156" t="s">
        <v>113</v>
      </c>
      <c r="D44" s="155">
        <v>115670.39</v>
      </c>
      <c r="E44" s="157">
        <v>0.35</v>
      </c>
      <c r="F44" s="158">
        <v>518410.69</v>
      </c>
    </row>
    <row r="45" spans="1:6" ht="15.75" thickBot="1" x14ac:dyDescent="0.3">
      <c r="A45" s="167" t="s">
        <v>6</v>
      </c>
      <c r="B45" s="150">
        <v>0</v>
      </c>
      <c r="C45" s="151">
        <v>40500.83</v>
      </c>
      <c r="D45" s="150">
        <v>0</v>
      </c>
      <c r="E45" s="152">
        <v>0.05</v>
      </c>
      <c r="F45" s="153">
        <v>0</v>
      </c>
    </row>
    <row r="46" spans="1:6" ht="15.75" thickBot="1" x14ac:dyDescent="0.3">
      <c r="A46" s="168"/>
      <c r="B46" s="18">
        <v>40500.83</v>
      </c>
      <c r="C46" s="18">
        <v>81001.67</v>
      </c>
      <c r="D46" s="18">
        <v>2025.04</v>
      </c>
      <c r="E46" s="19">
        <v>0.09</v>
      </c>
      <c r="F46" s="154">
        <v>40500.83</v>
      </c>
    </row>
    <row r="47" spans="1:6" ht="15.75" thickBot="1" x14ac:dyDescent="0.3">
      <c r="A47" s="168"/>
      <c r="B47" s="18">
        <v>81001.67</v>
      </c>
      <c r="C47" s="18">
        <v>121502.5</v>
      </c>
      <c r="D47" s="18">
        <v>5670.12</v>
      </c>
      <c r="E47" s="19">
        <v>0.12</v>
      </c>
      <c r="F47" s="154">
        <v>81001.67</v>
      </c>
    </row>
    <row r="48" spans="1:6" ht="15.75" thickBot="1" x14ac:dyDescent="0.3">
      <c r="A48" s="168"/>
      <c r="B48" s="18">
        <v>121502.5</v>
      </c>
      <c r="C48" s="18">
        <v>162003.34</v>
      </c>
      <c r="D48" s="18">
        <v>10530.22</v>
      </c>
      <c r="E48" s="19">
        <v>0.15</v>
      </c>
      <c r="F48" s="154">
        <v>121502.5</v>
      </c>
    </row>
    <row r="49" spans="1:6" ht="15.75" thickBot="1" x14ac:dyDescent="0.3">
      <c r="A49" s="168"/>
      <c r="B49" s="18">
        <v>162003.34</v>
      </c>
      <c r="C49" s="18">
        <v>243005.01</v>
      </c>
      <c r="D49" s="18">
        <v>16605.34</v>
      </c>
      <c r="E49" s="19">
        <v>0.19</v>
      </c>
      <c r="F49" s="154">
        <v>162003.34</v>
      </c>
    </row>
    <row r="50" spans="1:6" ht="15.75" thickBot="1" x14ac:dyDescent="0.3">
      <c r="A50" s="168"/>
      <c r="B50" s="18">
        <v>243005.01</v>
      </c>
      <c r="C50" s="18">
        <v>324006.67</v>
      </c>
      <c r="D50" s="18">
        <v>31995.66</v>
      </c>
      <c r="E50" s="19">
        <v>0.23</v>
      </c>
      <c r="F50" s="154">
        <v>243005.01</v>
      </c>
    </row>
    <row r="51" spans="1:6" ht="15.75" thickBot="1" x14ac:dyDescent="0.3">
      <c r="A51" s="168"/>
      <c r="B51" s="18">
        <v>324006.67</v>
      </c>
      <c r="C51" s="18">
        <v>486010.01</v>
      </c>
      <c r="D51" s="18">
        <v>50626.04</v>
      </c>
      <c r="E51" s="19">
        <v>0.27</v>
      </c>
      <c r="F51" s="154">
        <v>324006.67</v>
      </c>
    </row>
    <row r="52" spans="1:6" ht="15.75" thickBot="1" x14ac:dyDescent="0.3">
      <c r="A52" s="168"/>
      <c r="B52" s="18">
        <v>486010.01</v>
      </c>
      <c r="C52" s="18">
        <v>648013.36</v>
      </c>
      <c r="D52" s="18">
        <v>94366.94</v>
      </c>
      <c r="E52" s="19">
        <v>0.31</v>
      </c>
      <c r="F52" s="154">
        <v>486010.01</v>
      </c>
    </row>
    <row r="53" spans="1:6" ht="15.75" thickBot="1" x14ac:dyDescent="0.3">
      <c r="A53" s="169"/>
      <c r="B53" s="155">
        <v>648013.36</v>
      </c>
      <c r="C53" s="156" t="s">
        <v>113</v>
      </c>
      <c r="D53" s="155">
        <v>144587.98000000001</v>
      </c>
      <c r="E53" s="157">
        <v>0.35</v>
      </c>
      <c r="F53" s="158">
        <v>648013.36</v>
      </c>
    </row>
    <row r="54" spans="1:6" ht="15.75" thickBot="1" x14ac:dyDescent="0.3">
      <c r="A54" s="167" t="s">
        <v>7</v>
      </c>
      <c r="B54" s="150">
        <v>0</v>
      </c>
      <c r="C54" s="151">
        <v>48601</v>
      </c>
      <c r="D54" s="150">
        <v>0</v>
      </c>
      <c r="E54" s="152">
        <v>0.05</v>
      </c>
      <c r="F54" s="153">
        <v>0</v>
      </c>
    </row>
    <row r="55" spans="1:6" ht="15.75" thickBot="1" x14ac:dyDescent="0.3">
      <c r="A55" s="168"/>
      <c r="B55" s="18">
        <v>48601</v>
      </c>
      <c r="C55" s="18">
        <v>97202.01</v>
      </c>
      <c r="D55" s="18">
        <v>2430.0500000000002</v>
      </c>
      <c r="E55" s="19">
        <v>0.09</v>
      </c>
      <c r="F55" s="154">
        <v>48601</v>
      </c>
    </row>
    <row r="56" spans="1:6" ht="15.75" thickBot="1" x14ac:dyDescent="0.3">
      <c r="A56" s="168"/>
      <c r="B56" s="18">
        <v>97202.01</v>
      </c>
      <c r="C56" s="18">
        <v>145803.01</v>
      </c>
      <c r="D56" s="18">
        <v>6804.14</v>
      </c>
      <c r="E56" s="19">
        <v>0.12</v>
      </c>
      <c r="F56" s="154">
        <v>97202.01</v>
      </c>
    </row>
    <row r="57" spans="1:6" ht="15.75" thickBot="1" x14ac:dyDescent="0.3">
      <c r="A57" s="168"/>
      <c r="B57" s="18">
        <v>145803.01</v>
      </c>
      <c r="C57" s="18">
        <v>194404.01</v>
      </c>
      <c r="D57" s="18">
        <v>12636.26</v>
      </c>
      <c r="E57" s="19">
        <v>0.15</v>
      </c>
      <c r="F57" s="154">
        <v>145803.01</v>
      </c>
    </row>
    <row r="58" spans="1:6" ht="15.75" thickBot="1" x14ac:dyDescent="0.3">
      <c r="A58" s="168"/>
      <c r="B58" s="18">
        <v>194404.01</v>
      </c>
      <c r="C58" s="18">
        <v>291606.01</v>
      </c>
      <c r="D58" s="18">
        <v>19926.41</v>
      </c>
      <c r="E58" s="19">
        <v>0.19</v>
      </c>
      <c r="F58" s="154">
        <v>194404.01</v>
      </c>
    </row>
    <row r="59" spans="1:6" ht="15.75" thickBot="1" x14ac:dyDescent="0.3">
      <c r="A59" s="168"/>
      <c r="B59" s="18">
        <v>291606.01</v>
      </c>
      <c r="C59" s="18">
        <v>388808.01</v>
      </c>
      <c r="D59" s="18">
        <v>38394.79</v>
      </c>
      <c r="E59" s="19">
        <v>0.23</v>
      </c>
      <c r="F59" s="154">
        <v>291606.01</v>
      </c>
    </row>
    <row r="60" spans="1:6" ht="15.75" thickBot="1" x14ac:dyDescent="0.3">
      <c r="A60" s="168"/>
      <c r="B60" s="18">
        <v>388808.01</v>
      </c>
      <c r="C60" s="18">
        <v>583212.01</v>
      </c>
      <c r="D60" s="18">
        <v>60751.25</v>
      </c>
      <c r="E60" s="19">
        <v>0.27</v>
      </c>
      <c r="F60" s="154">
        <v>388808.01</v>
      </c>
    </row>
    <row r="61" spans="1:6" ht="15.75" thickBot="1" x14ac:dyDescent="0.3">
      <c r="A61" s="168"/>
      <c r="B61" s="18">
        <v>583212.01</v>
      </c>
      <c r="C61" s="18">
        <v>777616.03</v>
      </c>
      <c r="D61" s="18">
        <v>113240.33</v>
      </c>
      <c r="E61" s="19">
        <v>0.31</v>
      </c>
      <c r="F61" s="154">
        <v>583212.01</v>
      </c>
    </row>
    <row r="62" spans="1:6" ht="15.75" thickBot="1" x14ac:dyDescent="0.3">
      <c r="A62" s="169"/>
      <c r="B62" s="155">
        <v>777616.03</v>
      </c>
      <c r="C62" s="156" t="s">
        <v>113</v>
      </c>
      <c r="D62" s="155">
        <v>173505.58</v>
      </c>
      <c r="E62" s="157">
        <v>0.35</v>
      </c>
      <c r="F62" s="158">
        <v>777616.03</v>
      </c>
    </row>
    <row r="63" spans="1:6" ht="15.75" thickBot="1" x14ac:dyDescent="0.3">
      <c r="A63" s="167" t="s">
        <v>8</v>
      </c>
      <c r="B63" s="150">
        <v>0</v>
      </c>
      <c r="C63" s="151">
        <v>56701.17</v>
      </c>
      <c r="D63" s="150">
        <v>0</v>
      </c>
      <c r="E63" s="152">
        <v>0.05</v>
      </c>
      <c r="F63" s="153">
        <v>0</v>
      </c>
    </row>
    <row r="64" spans="1:6" ht="15.75" thickBot="1" x14ac:dyDescent="0.3">
      <c r="A64" s="168"/>
      <c r="B64" s="18">
        <v>56701.17</v>
      </c>
      <c r="C64" s="18">
        <v>113402.34</v>
      </c>
      <c r="D64" s="18">
        <v>2835.06</v>
      </c>
      <c r="E64" s="19">
        <v>0.09</v>
      </c>
      <c r="F64" s="154">
        <v>56701.17</v>
      </c>
    </row>
    <row r="65" spans="1:6" ht="15.75" thickBot="1" x14ac:dyDescent="0.3">
      <c r="A65" s="168"/>
      <c r="B65" s="18">
        <v>113402.34</v>
      </c>
      <c r="C65" s="18">
        <v>170103.51</v>
      </c>
      <c r="D65" s="18">
        <v>7938.16</v>
      </c>
      <c r="E65" s="19">
        <v>0.12</v>
      </c>
      <c r="F65" s="154">
        <v>113402.34</v>
      </c>
    </row>
    <row r="66" spans="1:6" ht="15.75" thickBot="1" x14ac:dyDescent="0.3">
      <c r="A66" s="168"/>
      <c r="B66" s="18">
        <v>170103.51</v>
      </c>
      <c r="C66" s="18">
        <v>226804.68</v>
      </c>
      <c r="D66" s="18">
        <v>14742.3</v>
      </c>
      <c r="E66" s="19">
        <v>0.15</v>
      </c>
      <c r="F66" s="154">
        <v>170103.51</v>
      </c>
    </row>
    <row r="67" spans="1:6" ht="15.75" thickBot="1" x14ac:dyDescent="0.3">
      <c r="A67" s="168"/>
      <c r="B67" s="18">
        <v>226804.68</v>
      </c>
      <c r="C67" s="18">
        <v>340207.01</v>
      </c>
      <c r="D67" s="18">
        <v>23247.48</v>
      </c>
      <c r="E67" s="19">
        <v>0.19</v>
      </c>
      <c r="F67" s="154">
        <v>226804.68</v>
      </c>
    </row>
    <row r="68" spans="1:6" ht="15.75" thickBot="1" x14ac:dyDescent="0.3">
      <c r="A68" s="168"/>
      <c r="B68" s="18">
        <v>340207.01</v>
      </c>
      <c r="C68" s="18">
        <v>453609.34</v>
      </c>
      <c r="D68" s="18">
        <v>44793.919999999998</v>
      </c>
      <c r="E68" s="19">
        <v>0.23</v>
      </c>
      <c r="F68" s="154">
        <v>340207.01</v>
      </c>
    </row>
    <row r="69" spans="1:6" ht="15.75" thickBot="1" x14ac:dyDescent="0.3">
      <c r="A69" s="168"/>
      <c r="B69" s="18">
        <v>453609.34</v>
      </c>
      <c r="C69" s="18">
        <v>680414.02</v>
      </c>
      <c r="D69" s="18">
        <v>70876.460000000006</v>
      </c>
      <c r="E69" s="19">
        <v>0.27</v>
      </c>
      <c r="F69" s="154">
        <v>453609.34</v>
      </c>
    </row>
    <row r="70" spans="1:6" ht="15.75" thickBot="1" x14ac:dyDescent="0.3">
      <c r="A70" s="168"/>
      <c r="B70" s="18">
        <v>680414.02</v>
      </c>
      <c r="C70" s="18">
        <v>907218.71</v>
      </c>
      <c r="D70" s="18">
        <v>132113.72200000001</v>
      </c>
      <c r="E70" s="19">
        <v>0.31</v>
      </c>
      <c r="F70" s="154">
        <v>680414.02</v>
      </c>
    </row>
    <row r="71" spans="1:6" ht="15.75" thickBot="1" x14ac:dyDescent="0.3">
      <c r="A71" s="169"/>
      <c r="B71" s="155">
        <v>907218.71</v>
      </c>
      <c r="C71" s="156" t="s">
        <v>113</v>
      </c>
      <c r="D71" s="155">
        <v>202423.17</v>
      </c>
      <c r="E71" s="157">
        <v>0.35</v>
      </c>
      <c r="F71" s="158">
        <v>907218.71</v>
      </c>
    </row>
    <row r="72" spans="1:6" ht="15.75" thickBot="1" x14ac:dyDescent="0.3">
      <c r="A72" s="167" t="s">
        <v>9</v>
      </c>
      <c r="B72" s="150">
        <v>0</v>
      </c>
      <c r="C72" s="151">
        <v>64801.33</v>
      </c>
      <c r="D72" s="150">
        <v>0</v>
      </c>
      <c r="E72" s="152">
        <v>0.05</v>
      </c>
      <c r="F72" s="153">
        <v>0</v>
      </c>
    </row>
    <row r="73" spans="1:6" ht="15.75" thickBot="1" x14ac:dyDescent="0.3">
      <c r="A73" s="168"/>
      <c r="B73" s="18">
        <v>64801.33</v>
      </c>
      <c r="C73" s="18">
        <v>129602.67</v>
      </c>
      <c r="D73" s="18">
        <v>3240.07</v>
      </c>
      <c r="E73" s="19">
        <v>0.09</v>
      </c>
      <c r="F73" s="154">
        <v>64801.33</v>
      </c>
    </row>
    <row r="74" spans="1:6" ht="15.75" thickBot="1" x14ac:dyDescent="0.3">
      <c r="A74" s="168"/>
      <c r="B74" s="18">
        <v>129602.67</v>
      </c>
      <c r="C74" s="18">
        <v>194404.01</v>
      </c>
      <c r="D74" s="18">
        <v>9072.19</v>
      </c>
      <c r="E74" s="19">
        <v>0.12</v>
      </c>
      <c r="F74" s="154">
        <v>129602.67</v>
      </c>
    </row>
    <row r="75" spans="1:6" ht="15.75" thickBot="1" x14ac:dyDescent="0.3">
      <c r="A75" s="168"/>
      <c r="B75" s="18">
        <v>194404.01</v>
      </c>
      <c r="C75" s="18">
        <v>259205.35</v>
      </c>
      <c r="D75" s="18">
        <v>16848.349999999999</v>
      </c>
      <c r="E75" s="19">
        <v>0.15</v>
      </c>
      <c r="F75" s="154">
        <v>194404.01</v>
      </c>
    </row>
    <row r="76" spans="1:6" ht="15.75" thickBot="1" x14ac:dyDescent="0.3">
      <c r="A76" s="168"/>
      <c r="B76" s="18">
        <v>259205.35</v>
      </c>
      <c r="C76" s="18">
        <v>388808.01</v>
      </c>
      <c r="D76" s="18">
        <v>26568.55</v>
      </c>
      <c r="E76" s="19">
        <v>0.19</v>
      </c>
      <c r="F76" s="154">
        <v>259205.35</v>
      </c>
    </row>
    <row r="77" spans="1:6" ht="15.75" thickBot="1" x14ac:dyDescent="0.3">
      <c r="A77" s="168"/>
      <c r="B77" s="18">
        <v>388808.01</v>
      </c>
      <c r="C77" s="18">
        <v>518410.68</v>
      </c>
      <c r="D77" s="18">
        <v>51193.05</v>
      </c>
      <c r="E77" s="19">
        <v>0.23</v>
      </c>
      <c r="F77" s="154">
        <v>388808.01</v>
      </c>
    </row>
    <row r="78" spans="1:6" ht="15.75" thickBot="1" x14ac:dyDescent="0.3">
      <c r="A78" s="168"/>
      <c r="B78" s="18">
        <v>518410.68</v>
      </c>
      <c r="C78" s="18">
        <v>777616.02</v>
      </c>
      <c r="D78" s="18">
        <v>81001.67</v>
      </c>
      <c r="E78" s="19">
        <v>0.27</v>
      </c>
      <c r="F78" s="154">
        <v>518410.68</v>
      </c>
    </row>
    <row r="79" spans="1:6" ht="15.75" thickBot="1" x14ac:dyDescent="0.3">
      <c r="A79" s="168"/>
      <c r="B79" s="18">
        <v>777616.02</v>
      </c>
      <c r="C79" s="18">
        <v>1036821.38</v>
      </c>
      <c r="D79" s="18">
        <v>150987.10999999999</v>
      </c>
      <c r="E79" s="19">
        <v>0.31</v>
      </c>
      <c r="F79" s="154">
        <v>777616.02</v>
      </c>
    </row>
    <row r="80" spans="1:6" ht="15.75" thickBot="1" x14ac:dyDescent="0.3">
      <c r="A80" s="169"/>
      <c r="B80" s="155">
        <v>1036821.38</v>
      </c>
      <c r="C80" s="156" t="s">
        <v>113</v>
      </c>
      <c r="D80" s="18">
        <v>231340.77</v>
      </c>
      <c r="E80" s="157">
        <v>0.35</v>
      </c>
      <c r="F80" s="158">
        <v>1036821.38</v>
      </c>
    </row>
    <row r="81" spans="1:6" ht="15.75" thickBot="1" x14ac:dyDescent="0.3">
      <c r="A81" s="167" t="s">
        <v>114</v>
      </c>
      <c r="B81" s="150">
        <v>0</v>
      </c>
      <c r="C81" s="151">
        <v>72901.5</v>
      </c>
      <c r="D81" s="150">
        <v>0</v>
      </c>
      <c r="E81" s="152">
        <v>0.05</v>
      </c>
      <c r="F81" s="153">
        <v>0</v>
      </c>
    </row>
    <row r="82" spans="1:6" ht="15.75" thickBot="1" x14ac:dyDescent="0.3">
      <c r="A82" s="168"/>
      <c r="B82" s="18">
        <v>72901.5</v>
      </c>
      <c r="C82" s="18">
        <v>145803.01</v>
      </c>
      <c r="D82" s="18">
        <v>3645.07</v>
      </c>
      <c r="E82" s="19">
        <v>0.09</v>
      </c>
      <c r="F82" s="154">
        <v>72901.5</v>
      </c>
    </row>
    <row r="83" spans="1:6" ht="15.75" thickBot="1" x14ac:dyDescent="0.3">
      <c r="A83" s="168"/>
      <c r="B83" s="18">
        <v>145803.01</v>
      </c>
      <c r="C83" s="18">
        <v>218704.51</v>
      </c>
      <c r="D83" s="18">
        <v>10206.209999999999</v>
      </c>
      <c r="E83" s="19">
        <v>0.12</v>
      </c>
      <c r="F83" s="154">
        <v>145803.01</v>
      </c>
    </row>
    <row r="84" spans="1:6" ht="15.75" thickBot="1" x14ac:dyDescent="0.3">
      <c r="A84" s="168"/>
      <c r="B84" s="18">
        <v>218704.51</v>
      </c>
      <c r="C84" s="18">
        <v>291606.02</v>
      </c>
      <c r="D84" s="18">
        <v>18954.39</v>
      </c>
      <c r="E84" s="19">
        <v>0.15</v>
      </c>
      <c r="F84" s="154">
        <v>218704.51</v>
      </c>
    </row>
    <row r="85" spans="1:6" ht="15.75" thickBot="1" x14ac:dyDescent="0.3">
      <c r="A85" s="168"/>
      <c r="B85" s="18">
        <v>291606.02</v>
      </c>
      <c r="C85" s="18">
        <v>437409.02</v>
      </c>
      <c r="D85" s="18">
        <v>29889.62</v>
      </c>
      <c r="E85" s="19">
        <v>0.19</v>
      </c>
      <c r="F85" s="154">
        <v>291606.02</v>
      </c>
    </row>
    <row r="86" spans="1:6" ht="15.75" thickBot="1" x14ac:dyDescent="0.3">
      <c r="A86" s="168"/>
      <c r="B86" s="18">
        <v>437409.02</v>
      </c>
      <c r="C86" s="18">
        <v>583212.01</v>
      </c>
      <c r="D86" s="18">
        <v>57592.19</v>
      </c>
      <c r="E86" s="19">
        <v>0.23</v>
      </c>
      <c r="F86" s="154">
        <v>437409.02</v>
      </c>
    </row>
    <row r="87" spans="1:6" ht="15.75" thickBot="1" x14ac:dyDescent="0.3">
      <c r="A87" s="168"/>
      <c r="B87" s="18">
        <v>583212.01</v>
      </c>
      <c r="C87" s="18">
        <v>874818.02</v>
      </c>
      <c r="D87" s="18">
        <v>91126.88</v>
      </c>
      <c r="E87" s="19">
        <v>0.27</v>
      </c>
      <c r="F87" s="154">
        <v>583212.01</v>
      </c>
    </row>
    <row r="88" spans="1:6" ht="15.75" thickBot="1" x14ac:dyDescent="0.3">
      <c r="A88" s="168"/>
      <c r="B88" s="18">
        <v>874818.02</v>
      </c>
      <c r="C88" s="18">
        <v>1166424.05</v>
      </c>
      <c r="D88" s="18">
        <v>169860.5</v>
      </c>
      <c r="E88" s="19">
        <v>0.31</v>
      </c>
      <c r="F88" s="154">
        <v>874818.02</v>
      </c>
    </row>
    <row r="89" spans="1:6" ht="15.75" thickBot="1" x14ac:dyDescent="0.3">
      <c r="A89" s="169"/>
      <c r="B89" s="155">
        <v>1166424.05</v>
      </c>
      <c r="C89" s="156" t="s">
        <v>113</v>
      </c>
      <c r="D89" s="18">
        <v>260258.37</v>
      </c>
      <c r="E89" s="157">
        <v>0.35</v>
      </c>
      <c r="F89" s="158">
        <v>1166424.05</v>
      </c>
    </row>
    <row r="90" spans="1:6" ht="15.75" thickBot="1" x14ac:dyDescent="0.3">
      <c r="A90" s="167" t="s">
        <v>11</v>
      </c>
      <c r="B90" s="150">
        <v>0</v>
      </c>
      <c r="C90" s="151">
        <v>81001.67</v>
      </c>
      <c r="D90" s="150">
        <v>0</v>
      </c>
      <c r="E90" s="152">
        <v>0.05</v>
      </c>
      <c r="F90" s="153">
        <v>0</v>
      </c>
    </row>
    <row r="91" spans="1:6" ht="15.75" thickBot="1" x14ac:dyDescent="0.3">
      <c r="A91" s="168"/>
      <c r="B91" s="18">
        <v>81001.67</v>
      </c>
      <c r="C91" s="18">
        <v>162003.34</v>
      </c>
      <c r="D91" s="18">
        <v>4050.08</v>
      </c>
      <c r="E91" s="19">
        <v>0.09</v>
      </c>
      <c r="F91" s="154">
        <v>81001.67</v>
      </c>
    </row>
    <row r="92" spans="1:6" ht="15.75" thickBot="1" x14ac:dyDescent="0.3">
      <c r="A92" s="168"/>
      <c r="B92" s="18">
        <v>162003.34</v>
      </c>
      <c r="C92" s="18">
        <v>243005.01</v>
      </c>
      <c r="D92" s="18">
        <v>11340.23</v>
      </c>
      <c r="E92" s="19">
        <v>0.12</v>
      </c>
      <c r="F92" s="154">
        <v>162003.34</v>
      </c>
    </row>
    <row r="93" spans="1:6" ht="15.75" thickBot="1" x14ac:dyDescent="0.3">
      <c r="A93" s="168"/>
      <c r="B93" s="18">
        <v>243005.01</v>
      </c>
      <c r="C93" s="18">
        <v>324006.69</v>
      </c>
      <c r="D93" s="18">
        <v>21060.43</v>
      </c>
      <c r="E93" s="19">
        <v>0.15</v>
      </c>
      <c r="F93" s="154">
        <v>243005.01</v>
      </c>
    </row>
    <row r="94" spans="1:6" ht="15.75" thickBot="1" x14ac:dyDescent="0.3">
      <c r="A94" s="168"/>
      <c r="B94" s="18">
        <v>324006.69</v>
      </c>
      <c r="C94" s="18">
        <v>486010.02</v>
      </c>
      <c r="D94" s="18">
        <v>33210.69</v>
      </c>
      <c r="E94" s="19">
        <v>0.19</v>
      </c>
      <c r="F94" s="154">
        <v>324006.69</v>
      </c>
    </row>
    <row r="95" spans="1:6" ht="15.75" thickBot="1" x14ac:dyDescent="0.3">
      <c r="A95" s="168"/>
      <c r="B95" s="18">
        <v>486010.02</v>
      </c>
      <c r="C95" s="18">
        <v>648013.35</v>
      </c>
      <c r="D95" s="18">
        <v>63991.32</v>
      </c>
      <c r="E95" s="19">
        <v>0.23</v>
      </c>
      <c r="F95" s="154">
        <v>486010.02</v>
      </c>
    </row>
    <row r="96" spans="1:6" ht="15.75" thickBot="1" x14ac:dyDescent="0.3">
      <c r="A96" s="168"/>
      <c r="B96" s="18">
        <v>648013.35</v>
      </c>
      <c r="C96" s="18">
        <v>972020.02</v>
      </c>
      <c r="D96" s="18">
        <v>101252.08</v>
      </c>
      <c r="E96" s="19">
        <v>0.27</v>
      </c>
      <c r="F96" s="154">
        <v>648013.35</v>
      </c>
    </row>
    <row r="97" spans="1:6" ht="15.75" thickBot="1" x14ac:dyDescent="0.3">
      <c r="A97" s="168"/>
      <c r="B97" s="18">
        <v>972020.02</v>
      </c>
      <c r="C97" s="18">
        <v>1296026.72</v>
      </c>
      <c r="D97" s="18">
        <v>188733.89</v>
      </c>
      <c r="E97" s="19">
        <v>0.31</v>
      </c>
      <c r="F97" s="154">
        <v>972020.02</v>
      </c>
    </row>
    <row r="98" spans="1:6" ht="15.75" thickBot="1" x14ac:dyDescent="0.3">
      <c r="A98" s="169"/>
      <c r="B98" s="155">
        <v>1296026.72</v>
      </c>
      <c r="C98" s="156" t="s">
        <v>113</v>
      </c>
      <c r="D98" s="18">
        <v>289175.96000000002</v>
      </c>
      <c r="E98" s="157">
        <v>0.35</v>
      </c>
      <c r="F98" s="158">
        <v>1296026.72</v>
      </c>
    </row>
    <row r="99" spans="1:6" ht="15.75" thickBot="1" x14ac:dyDescent="0.3">
      <c r="A99" s="167" t="s">
        <v>12</v>
      </c>
      <c r="B99" s="150">
        <v>0</v>
      </c>
      <c r="C99" s="151">
        <v>89101.83</v>
      </c>
      <c r="D99" s="150">
        <v>0</v>
      </c>
      <c r="E99" s="152">
        <v>0.05</v>
      </c>
      <c r="F99" s="153">
        <v>0</v>
      </c>
    </row>
    <row r="100" spans="1:6" ht="15.75" thickBot="1" x14ac:dyDescent="0.3">
      <c r="A100" s="168"/>
      <c r="B100" s="18">
        <v>89101.83</v>
      </c>
      <c r="C100" s="18">
        <v>178203.68</v>
      </c>
      <c r="D100" s="18">
        <v>4455.09</v>
      </c>
      <c r="E100" s="19">
        <v>0.09</v>
      </c>
      <c r="F100" s="154">
        <v>89101.83</v>
      </c>
    </row>
    <row r="101" spans="1:6" ht="15.75" thickBot="1" x14ac:dyDescent="0.3">
      <c r="A101" s="168"/>
      <c r="B101" s="18">
        <v>178203.68</v>
      </c>
      <c r="C101" s="18">
        <v>267305.51</v>
      </c>
      <c r="D101" s="18">
        <v>12474.26</v>
      </c>
      <c r="E101" s="19">
        <v>0.12</v>
      </c>
      <c r="F101" s="154">
        <v>178203.68</v>
      </c>
    </row>
    <row r="102" spans="1:6" ht="15.75" thickBot="1" x14ac:dyDescent="0.3">
      <c r="A102" s="168"/>
      <c r="B102" s="18">
        <v>267305.51</v>
      </c>
      <c r="C102" s="18">
        <v>356407.36</v>
      </c>
      <c r="D102" s="18">
        <v>23166.48</v>
      </c>
      <c r="E102" s="19">
        <v>0.15</v>
      </c>
      <c r="F102" s="154">
        <v>267305.51</v>
      </c>
    </row>
    <row r="103" spans="1:6" ht="15.75" thickBot="1" x14ac:dyDescent="0.3">
      <c r="A103" s="168"/>
      <c r="B103" s="18">
        <v>356407.36</v>
      </c>
      <c r="C103" s="18">
        <v>534611.02</v>
      </c>
      <c r="D103" s="18">
        <v>36531.75</v>
      </c>
      <c r="E103" s="19">
        <v>0.19</v>
      </c>
      <c r="F103" s="154">
        <v>356407.36</v>
      </c>
    </row>
    <row r="104" spans="1:6" ht="15.75" thickBot="1" x14ac:dyDescent="0.3">
      <c r="A104" s="168"/>
      <c r="B104" s="18">
        <v>534611.02</v>
      </c>
      <c r="C104" s="18">
        <v>712814.68</v>
      </c>
      <c r="D104" s="18">
        <v>70390.45</v>
      </c>
      <c r="E104" s="19">
        <v>0.23</v>
      </c>
      <c r="F104" s="154">
        <v>534611.02</v>
      </c>
    </row>
    <row r="105" spans="1:6" ht="15.75" thickBot="1" x14ac:dyDescent="0.3">
      <c r="A105" s="168"/>
      <c r="B105" s="18">
        <v>712814.68</v>
      </c>
      <c r="C105" s="18">
        <v>1069222.03</v>
      </c>
      <c r="D105" s="18">
        <v>111377.29</v>
      </c>
      <c r="E105" s="19">
        <v>0.27</v>
      </c>
      <c r="F105" s="154">
        <v>712814.68</v>
      </c>
    </row>
    <row r="106" spans="1:6" ht="15.75" thickBot="1" x14ac:dyDescent="0.3">
      <c r="A106" s="168"/>
      <c r="B106" s="18">
        <v>1069222.03</v>
      </c>
      <c r="C106" s="18">
        <v>1425629.4</v>
      </c>
      <c r="D106" s="18">
        <v>207607.28</v>
      </c>
      <c r="E106" s="19">
        <v>0.31</v>
      </c>
      <c r="F106" s="154">
        <v>1069222.03</v>
      </c>
    </row>
    <row r="107" spans="1:6" ht="15.75" thickBot="1" x14ac:dyDescent="0.3">
      <c r="A107" s="169"/>
      <c r="B107" s="155">
        <v>1425629.4</v>
      </c>
      <c r="C107" s="156" t="s">
        <v>113</v>
      </c>
      <c r="D107" s="18">
        <v>318093.56</v>
      </c>
      <c r="E107" s="157">
        <v>0.35</v>
      </c>
      <c r="F107" s="158">
        <v>1425629.4</v>
      </c>
    </row>
    <row r="108" spans="1:6" ht="15.75" thickBot="1" x14ac:dyDescent="0.3">
      <c r="A108" s="167" t="s">
        <v>13</v>
      </c>
      <c r="B108" s="150">
        <v>0</v>
      </c>
      <c r="C108" s="151">
        <v>97202</v>
      </c>
      <c r="D108" s="150">
        <v>0</v>
      </c>
      <c r="E108" s="152">
        <v>0.05</v>
      </c>
      <c r="F108" s="153">
        <v>0</v>
      </c>
    </row>
    <row r="109" spans="1:6" ht="15.75" thickBot="1" x14ac:dyDescent="0.3">
      <c r="A109" s="168"/>
      <c r="B109" s="18">
        <v>97202</v>
      </c>
      <c r="C109" s="18">
        <v>194404.01</v>
      </c>
      <c r="D109" s="18">
        <v>4860.1000000000004</v>
      </c>
      <c r="E109" s="19">
        <v>0.09</v>
      </c>
      <c r="F109" s="154">
        <v>97202</v>
      </c>
    </row>
    <row r="110" spans="1:6" ht="15.75" thickBot="1" x14ac:dyDescent="0.3">
      <c r="A110" s="168"/>
      <c r="B110" s="18">
        <v>194404.01</v>
      </c>
      <c r="C110" s="18">
        <v>291606.01</v>
      </c>
      <c r="D110" s="18">
        <v>13608.28</v>
      </c>
      <c r="E110" s="19">
        <v>0.12</v>
      </c>
      <c r="F110" s="154">
        <v>194404.01</v>
      </c>
    </row>
    <row r="111" spans="1:6" ht="15.75" thickBot="1" x14ac:dyDescent="0.3">
      <c r="A111" s="168"/>
      <c r="B111" s="18">
        <v>291606.01</v>
      </c>
      <c r="C111" s="18">
        <v>388808.02</v>
      </c>
      <c r="D111" s="18">
        <v>25272.52</v>
      </c>
      <c r="E111" s="19">
        <v>0.15</v>
      </c>
      <c r="F111" s="154">
        <v>291606.01</v>
      </c>
    </row>
    <row r="112" spans="1:6" ht="15.75" thickBot="1" x14ac:dyDescent="0.3">
      <c r="A112" s="168"/>
      <c r="B112" s="18">
        <v>388808.02</v>
      </c>
      <c r="C112" s="18">
        <v>583212.02</v>
      </c>
      <c r="D112" s="18">
        <v>39852.82</v>
      </c>
      <c r="E112" s="19">
        <v>0.19</v>
      </c>
      <c r="F112" s="154">
        <v>388808.02</v>
      </c>
    </row>
    <row r="113" spans="1:6" ht="15.75" thickBot="1" x14ac:dyDescent="0.3">
      <c r="A113" s="168"/>
      <c r="B113" s="18">
        <v>583212.02</v>
      </c>
      <c r="C113" s="18">
        <v>777616.02</v>
      </c>
      <c r="D113" s="18">
        <v>76789.58</v>
      </c>
      <c r="E113" s="19">
        <v>0.23</v>
      </c>
      <c r="F113" s="154">
        <v>583212.02</v>
      </c>
    </row>
    <row r="114" spans="1:6" ht="15.75" thickBot="1" x14ac:dyDescent="0.3">
      <c r="A114" s="168"/>
      <c r="B114" s="18">
        <v>777616.02</v>
      </c>
      <c r="C114" s="18">
        <v>1166424.03</v>
      </c>
      <c r="D114" s="18">
        <v>121502.5</v>
      </c>
      <c r="E114" s="19">
        <v>0.27</v>
      </c>
      <c r="F114" s="154">
        <v>777616.02</v>
      </c>
    </row>
    <row r="115" spans="1:6" ht="15.75" thickBot="1" x14ac:dyDescent="0.3">
      <c r="A115" s="168"/>
      <c r="B115" s="18">
        <v>1166424.03</v>
      </c>
      <c r="C115" s="18">
        <v>1555232.07</v>
      </c>
      <c r="D115" s="18">
        <v>226480.66</v>
      </c>
      <c r="E115" s="19">
        <v>0.31</v>
      </c>
      <c r="F115" s="154">
        <v>1166424.03</v>
      </c>
    </row>
    <row r="116" spans="1:6" ht="15.75" thickBot="1" x14ac:dyDescent="0.3">
      <c r="A116" s="169"/>
      <c r="B116" s="155">
        <v>1555232.07</v>
      </c>
      <c r="C116" s="156" t="s">
        <v>113</v>
      </c>
      <c r="D116" s="18">
        <v>347011.16</v>
      </c>
      <c r="E116" s="157">
        <v>0.35</v>
      </c>
      <c r="F116" s="158">
        <v>1555232.07</v>
      </c>
    </row>
  </sheetData>
  <sheetProtection algorithmName="SHA-512" hashValue="to85yvdffEhZTjO9D2JlxRZ7H6tRicljcXBn73e+CmI50EMX6Uf93C6sbiMJQm0uML0lms1rbx4xD9Rd2oslTw==" saltValue="V7AEDXSRyXuXviMSYUHJ9g==" spinCount="100000" sheet="1" objects="1" scenarios="1"/>
  <mergeCells count="20">
    <mergeCell ref="A2:C2"/>
    <mergeCell ref="A4:C4"/>
    <mergeCell ref="A9:A17"/>
    <mergeCell ref="A18:A26"/>
    <mergeCell ref="A27:A35"/>
    <mergeCell ref="A6:C6"/>
    <mergeCell ref="A3:C3"/>
    <mergeCell ref="D6:F6"/>
    <mergeCell ref="A90:A98"/>
    <mergeCell ref="A99:A107"/>
    <mergeCell ref="A108:A116"/>
    <mergeCell ref="A45:A53"/>
    <mergeCell ref="A54:A62"/>
    <mergeCell ref="A63:A71"/>
    <mergeCell ref="A72:A80"/>
    <mergeCell ref="A36:A44"/>
    <mergeCell ref="A7:A8"/>
    <mergeCell ref="B7:C7"/>
    <mergeCell ref="D7:F7"/>
    <mergeCell ref="A81:A8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2"/>
  <sheetViews>
    <sheetView topLeftCell="A88" zoomScale="95" zoomScaleNormal="95" workbookViewId="0">
      <selection activeCell="I8" sqref="I8"/>
    </sheetView>
  </sheetViews>
  <sheetFormatPr baseColWidth="10" defaultRowHeight="15" x14ac:dyDescent="0.25"/>
  <cols>
    <col min="3" max="3" width="11.42578125" style="159"/>
    <col min="5" max="5" width="12.7109375" bestFit="1" customWidth="1"/>
    <col min="6" max="6" width="14.7109375" customWidth="1"/>
    <col min="7" max="7" width="11.42578125" style="159"/>
  </cols>
  <sheetData>
    <row r="1" spans="1:7" x14ac:dyDescent="0.25">
      <c r="A1" t="s">
        <v>146</v>
      </c>
      <c r="B1" s="161"/>
      <c r="E1" t="s">
        <v>147</v>
      </c>
    </row>
    <row r="2" spans="1:7" ht="36" x14ac:dyDescent="0.25">
      <c r="A2" s="77" t="s">
        <v>115</v>
      </c>
      <c r="B2" s="79" t="s">
        <v>116</v>
      </c>
      <c r="D2" s="161"/>
      <c r="E2" s="77" t="s">
        <v>115</v>
      </c>
      <c r="F2" s="79" t="s">
        <v>116</v>
      </c>
    </row>
    <row r="3" spans="1:7" x14ac:dyDescent="0.25">
      <c r="A3" s="78">
        <v>225937</v>
      </c>
      <c r="B3" s="80"/>
      <c r="C3" s="159">
        <v>64737</v>
      </c>
      <c r="D3" s="161"/>
      <c r="E3" s="78">
        <v>280792</v>
      </c>
      <c r="F3" s="80"/>
      <c r="G3" s="159">
        <v>109772.9</v>
      </c>
    </row>
    <row r="4" spans="1:7" x14ac:dyDescent="0.25">
      <c r="A4" s="78">
        <v>226087</v>
      </c>
      <c r="B4" s="80">
        <v>64737</v>
      </c>
      <c r="C4" s="159">
        <v>64180</v>
      </c>
      <c r="D4" s="161"/>
      <c r="E4" s="78">
        <v>280980</v>
      </c>
      <c r="F4" s="188">
        <v>109772.9</v>
      </c>
      <c r="G4" s="159">
        <v>108833.43</v>
      </c>
    </row>
    <row r="5" spans="1:7" x14ac:dyDescent="0.25">
      <c r="A5" s="78">
        <v>226238</v>
      </c>
      <c r="B5" s="80">
        <v>64180</v>
      </c>
      <c r="C5" s="159">
        <v>63669</v>
      </c>
      <c r="D5" s="161"/>
      <c r="E5" s="78">
        <v>281167</v>
      </c>
      <c r="F5" s="188">
        <v>108833.43</v>
      </c>
      <c r="G5" s="159">
        <v>107974.11</v>
      </c>
    </row>
    <row r="6" spans="1:7" x14ac:dyDescent="0.25">
      <c r="A6" s="78">
        <v>226389</v>
      </c>
      <c r="B6" s="80">
        <v>63669</v>
      </c>
      <c r="C6" s="159">
        <v>63187</v>
      </c>
      <c r="D6" s="161"/>
      <c r="E6" s="78">
        <v>281354</v>
      </c>
      <c r="F6" s="188">
        <v>107974.11</v>
      </c>
      <c r="G6" s="159">
        <v>107163.05</v>
      </c>
    </row>
    <row r="7" spans="1:7" x14ac:dyDescent="0.25">
      <c r="A7" s="78">
        <v>226539</v>
      </c>
      <c r="B7" s="80">
        <v>63187</v>
      </c>
      <c r="C7" s="159">
        <v>62726</v>
      </c>
      <c r="D7" s="161"/>
      <c r="E7" s="78">
        <v>281541</v>
      </c>
      <c r="F7" s="188">
        <v>107163.05</v>
      </c>
      <c r="G7" s="159">
        <v>106386.1</v>
      </c>
    </row>
    <row r="8" spans="1:7" x14ac:dyDescent="0.25">
      <c r="A8" s="78">
        <v>226690</v>
      </c>
      <c r="B8" s="80">
        <v>62726</v>
      </c>
      <c r="C8" s="159">
        <v>62280</v>
      </c>
      <c r="D8" s="161"/>
      <c r="E8" s="78">
        <v>281729</v>
      </c>
      <c r="F8" s="188">
        <v>106386.1</v>
      </c>
      <c r="G8" s="159">
        <v>105635.29</v>
      </c>
    </row>
    <row r="9" spans="1:7" x14ac:dyDescent="0.25">
      <c r="A9" s="78">
        <v>226841</v>
      </c>
      <c r="B9" s="80">
        <v>62280</v>
      </c>
      <c r="C9" s="159">
        <v>61848</v>
      </c>
      <c r="D9" s="161"/>
      <c r="E9" s="78">
        <v>281916</v>
      </c>
      <c r="F9" s="188">
        <v>105635.29</v>
      </c>
      <c r="G9" s="159">
        <v>104905.56</v>
      </c>
    </row>
    <row r="10" spans="1:7" x14ac:dyDescent="0.25">
      <c r="A10" s="78">
        <v>226991</v>
      </c>
      <c r="B10" s="80">
        <v>61848</v>
      </c>
      <c r="C10" s="159">
        <v>61425</v>
      </c>
      <c r="D10" s="161"/>
      <c r="E10" s="78">
        <v>282103</v>
      </c>
      <c r="F10" s="188">
        <v>104905.56</v>
      </c>
      <c r="G10" s="159">
        <v>104193.38</v>
      </c>
    </row>
    <row r="11" spans="1:7" x14ac:dyDescent="0.25">
      <c r="A11" s="78">
        <v>227142</v>
      </c>
      <c r="B11" s="80">
        <v>61425</v>
      </c>
      <c r="C11" s="159">
        <v>61010</v>
      </c>
      <c r="D11" s="161"/>
      <c r="E11" s="78">
        <v>282290</v>
      </c>
      <c r="F11" s="188">
        <v>104193.38</v>
      </c>
      <c r="G11" s="159">
        <v>103496.22</v>
      </c>
    </row>
    <row r="12" spans="1:7" x14ac:dyDescent="0.25">
      <c r="A12" s="78">
        <v>227292</v>
      </c>
      <c r="B12" s="80">
        <v>61010</v>
      </c>
      <c r="C12" s="159">
        <v>60605</v>
      </c>
      <c r="D12" s="161"/>
      <c r="E12" s="78">
        <v>282477</v>
      </c>
      <c r="F12" s="188">
        <v>103496.22</v>
      </c>
      <c r="G12" s="159">
        <v>102812.13</v>
      </c>
    </row>
    <row r="13" spans="1:7" x14ac:dyDescent="0.25">
      <c r="A13" s="78">
        <v>227443</v>
      </c>
      <c r="B13" s="80">
        <v>60605</v>
      </c>
      <c r="C13" s="159">
        <v>60206</v>
      </c>
      <c r="D13" s="161"/>
      <c r="E13" s="78">
        <v>282665</v>
      </c>
      <c r="F13" s="188">
        <v>102812.13</v>
      </c>
      <c r="G13" s="159">
        <v>102139.59</v>
      </c>
    </row>
    <row r="14" spans="1:7" x14ac:dyDescent="0.25">
      <c r="A14" s="78">
        <v>227594</v>
      </c>
      <c r="B14" s="80">
        <v>60206</v>
      </c>
      <c r="C14" s="159">
        <v>59813</v>
      </c>
      <c r="D14" s="161"/>
      <c r="E14" s="78">
        <v>282852</v>
      </c>
      <c r="F14" s="188">
        <v>102139.59</v>
      </c>
      <c r="G14" s="159">
        <v>101477.37</v>
      </c>
    </row>
    <row r="15" spans="1:7" x14ac:dyDescent="0.25">
      <c r="A15" s="78">
        <v>227744</v>
      </c>
      <c r="B15" s="80">
        <v>59813</v>
      </c>
      <c r="C15" s="159">
        <v>59424</v>
      </c>
      <c r="D15" s="161"/>
      <c r="E15" s="78">
        <v>283039</v>
      </c>
      <c r="F15" s="188">
        <v>101477.37</v>
      </c>
      <c r="G15" s="159">
        <v>100824.48</v>
      </c>
    </row>
    <row r="16" spans="1:7" x14ac:dyDescent="0.25">
      <c r="A16" s="78">
        <v>227895</v>
      </c>
      <c r="B16" s="80">
        <v>59424</v>
      </c>
      <c r="C16" s="159">
        <v>59043</v>
      </c>
      <c r="D16" s="161"/>
      <c r="E16" s="78">
        <v>283226</v>
      </c>
      <c r="F16" s="188">
        <v>100824.48</v>
      </c>
      <c r="G16" s="159">
        <v>100180.08</v>
      </c>
    </row>
    <row r="17" spans="1:7" x14ac:dyDescent="0.25">
      <c r="A17" s="78">
        <v>228046</v>
      </c>
      <c r="B17" s="80">
        <v>59043</v>
      </c>
      <c r="C17" s="159">
        <v>58665</v>
      </c>
      <c r="D17" s="161"/>
      <c r="E17" s="78">
        <v>283413</v>
      </c>
      <c r="F17" s="188">
        <v>100180.08</v>
      </c>
      <c r="G17" s="159">
        <v>99543.46</v>
      </c>
    </row>
    <row r="18" spans="1:7" x14ac:dyDescent="0.25">
      <c r="A18" s="78">
        <v>228196</v>
      </c>
      <c r="B18" s="80">
        <v>58665</v>
      </c>
      <c r="C18" s="159">
        <v>58292</v>
      </c>
      <c r="D18" s="161"/>
      <c r="E18" s="78">
        <v>283600</v>
      </c>
      <c r="F18" s="188">
        <v>99543.46</v>
      </c>
      <c r="G18" s="159">
        <v>98914.02</v>
      </c>
    </row>
    <row r="19" spans="1:7" x14ac:dyDescent="0.25">
      <c r="A19" s="78">
        <v>228347</v>
      </c>
      <c r="B19" s="80">
        <v>58292</v>
      </c>
      <c r="C19" s="159">
        <v>57921</v>
      </c>
      <c r="D19" s="161"/>
      <c r="E19" s="78">
        <v>283788</v>
      </c>
      <c r="F19" s="188">
        <v>98914.02</v>
      </c>
      <c r="G19" s="159">
        <v>98291.23</v>
      </c>
    </row>
    <row r="20" spans="1:7" x14ac:dyDescent="0.25">
      <c r="A20" s="78">
        <v>228497</v>
      </c>
      <c r="B20" s="80">
        <v>57921</v>
      </c>
      <c r="C20" s="159">
        <v>57555</v>
      </c>
      <c r="D20" s="161"/>
      <c r="E20" s="78">
        <v>283975</v>
      </c>
      <c r="F20" s="188">
        <v>98291.23</v>
      </c>
      <c r="G20" s="159">
        <v>97674.64</v>
      </c>
    </row>
    <row r="21" spans="1:7" x14ac:dyDescent="0.25">
      <c r="A21" s="78">
        <v>228648</v>
      </c>
      <c r="B21" s="80">
        <v>57555</v>
      </c>
      <c r="C21" s="159">
        <v>57192</v>
      </c>
      <c r="D21" s="161"/>
      <c r="E21" s="78">
        <v>284162</v>
      </c>
      <c r="F21" s="188">
        <v>97674.64</v>
      </c>
      <c r="G21" s="159">
        <v>97063.86</v>
      </c>
    </row>
    <row r="22" spans="1:7" x14ac:dyDescent="0.25">
      <c r="A22" s="78">
        <v>228799</v>
      </c>
      <c r="B22" s="80">
        <v>57192</v>
      </c>
      <c r="C22" s="159">
        <v>56834</v>
      </c>
      <c r="D22" s="161"/>
      <c r="E22" s="78">
        <v>284349</v>
      </c>
      <c r="F22" s="188">
        <v>97063.86</v>
      </c>
      <c r="G22" s="159">
        <v>96458.51</v>
      </c>
    </row>
    <row r="23" spans="1:7" x14ac:dyDescent="0.25">
      <c r="A23" s="78">
        <v>228949</v>
      </c>
      <c r="B23" s="80">
        <v>56834</v>
      </c>
      <c r="C23" s="159">
        <v>56477</v>
      </c>
      <c r="D23" s="161"/>
      <c r="E23" s="78">
        <v>284536</v>
      </c>
      <c r="F23" s="188">
        <v>96458.51</v>
      </c>
      <c r="G23" s="159">
        <v>95858.29</v>
      </c>
    </row>
    <row r="24" spans="1:7" x14ac:dyDescent="0.25">
      <c r="A24" s="78">
        <v>229100</v>
      </c>
      <c r="B24" s="80">
        <v>56477</v>
      </c>
      <c r="C24" s="159">
        <v>56124</v>
      </c>
      <c r="D24" s="161"/>
      <c r="E24" s="78">
        <v>284724</v>
      </c>
      <c r="F24" s="188">
        <v>95858.29</v>
      </c>
      <c r="G24" s="159">
        <v>95262.91</v>
      </c>
    </row>
    <row r="25" spans="1:7" x14ac:dyDescent="0.25">
      <c r="A25" s="78">
        <v>229251</v>
      </c>
      <c r="B25" s="80">
        <v>56124</v>
      </c>
      <c r="C25" s="159">
        <v>55773</v>
      </c>
      <c r="D25" s="161"/>
      <c r="E25" s="78">
        <v>284911</v>
      </c>
      <c r="F25" s="188">
        <v>95262.91</v>
      </c>
      <c r="G25" s="159">
        <v>94672.12</v>
      </c>
    </row>
    <row r="26" spans="1:7" x14ac:dyDescent="0.25">
      <c r="A26" s="78">
        <v>229401</v>
      </c>
      <c r="B26" s="80">
        <v>55773</v>
      </c>
      <c r="C26" s="159">
        <v>55425</v>
      </c>
      <c r="D26" s="161"/>
      <c r="E26" s="78">
        <v>285098</v>
      </c>
      <c r="F26" s="188">
        <v>94672.12</v>
      </c>
      <c r="G26" s="159">
        <v>94085.67</v>
      </c>
    </row>
    <row r="27" spans="1:7" x14ac:dyDescent="0.25">
      <c r="A27" s="78">
        <v>229552</v>
      </c>
      <c r="B27" s="80">
        <v>55425</v>
      </c>
      <c r="C27" s="159">
        <v>55079</v>
      </c>
      <c r="D27" s="161"/>
      <c r="E27" s="78">
        <v>285285</v>
      </c>
      <c r="F27" s="188">
        <v>94085.67</v>
      </c>
      <c r="G27" s="159">
        <v>93503.37</v>
      </c>
    </row>
    <row r="28" spans="1:7" x14ac:dyDescent="0.25">
      <c r="A28" s="78">
        <v>229702</v>
      </c>
      <c r="B28" s="80">
        <v>55079</v>
      </c>
      <c r="C28" s="159">
        <v>54735</v>
      </c>
      <c r="D28" s="161"/>
      <c r="E28" s="78">
        <v>285472</v>
      </c>
      <c r="F28" s="188">
        <v>93503.37</v>
      </c>
      <c r="G28" s="159">
        <v>92925.01</v>
      </c>
    </row>
    <row r="29" spans="1:7" x14ac:dyDescent="0.25">
      <c r="A29" s="78">
        <v>229853</v>
      </c>
      <c r="B29" s="80">
        <v>54735</v>
      </c>
      <c r="C29" s="159">
        <v>54395</v>
      </c>
      <c r="D29" s="161"/>
      <c r="E29" s="78">
        <v>285660</v>
      </c>
      <c r="F29" s="188">
        <v>92925.01</v>
      </c>
      <c r="G29" s="159">
        <v>92350.43</v>
      </c>
    </row>
    <row r="30" spans="1:7" x14ac:dyDescent="0.25">
      <c r="A30" s="78">
        <v>230004</v>
      </c>
      <c r="B30" s="80">
        <v>54395</v>
      </c>
      <c r="C30" s="159">
        <v>54056</v>
      </c>
      <c r="D30" s="161"/>
      <c r="E30" s="78">
        <v>285847</v>
      </c>
      <c r="F30" s="188">
        <v>92350.43</v>
      </c>
      <c r="G30" s="159">
        <v>91779.45</v>
      </c>
    </row>
    <row r="31" spans="1:7" x14ac:dyDescent="0.25">
      <c r="A31" s="78">
        <v>230154</v>
      </c>
      <c r="B31" s="80">
        <v>54056</v>
      </c>
      <c r="C31" s="159">
        <v>53719</v>
      </c>
      <c r="D31" s="161"/>
      <c r="E31" s="78">
        <v>286034</v>
      </c>
      <c r="F31" s="188">
        <v>91779.45</v>
      </c>
      <c r="G31" s="159">
        <v>91211.92</v>
      </c>
    </row>
    <row r="32" spans="1:7" x14ac:dyDescent="0.25">
      <c r="A32" s="78">
        <v>230305</v>
      </c>
      <c r="B32" s="80">
        <v>53719</v>
      </c>
      <c r="C32" s="159">
        <v>53384</v>
      </c>
      <c r="D32" s="161"/>
      <c r="E32" s="78">
        <v>286221</v>
      </c>
      <c r="F32" s="188">
        <v>91211.92</v>
      </c>
      <c r="G32" s="159">
        <v>90647.72</v>
      </c>
    </row>
    <row r="33" spans="1:7" x14ac:dyDescent="0.25">
      <c r="A33" s="78">
        <v>230456</v>
      </c>
      <c r="B33" s="80">
        <v>53384</v>
      </c>
      <c r="C33" s="159">
        <v>53051</v>
      </c>
      <c r="D33" s="161"/>
      <c r="E33" s="78">
        <v>286408</v>
      </c>
      <c r="F33" s="188">
        <v>90647.72</v>
      </c>
      <c r="G33" s="159">
        <v>90086.7</v>
      </c>
    </row>
    <row r="34" spans="1:7" x14ac:dyDescent="0.25">
      <c r="A34" s="78">
        <v>230606</v>
      </c>
      <c r="B34" s="80">
        <v>53051</v>
      </c>
      <c r="C34" s="159">
        <v>52720</v>
      </c>
      <c r="D34" s="161"/>
      <c r="E34" s="78">
        <v>286596</v>
      </c>
      <c r="F34" s="188">
        <v>90086.7</v>
      </c>
      <c r="G34" s="159">
        <v>89528.75</v>
      </c>
    </row>
    <row r="35" spans="1:7" x14ac:dyDescent="0.25">
      <c r="A35" s="78">
        <v>230757</v>
      </c>
      <c r="B35" s="80">
        <v>52720</v>
      </c>
      <c r="C35" s="159">
        <v>52390</v>
      </c>
      <c r="D35" s="161"/>
      <c r="E35" s="78">
        <v>286783</v>
      </c>
      <c r="F35" s="188">
        <v>89528.75</v>
      </c>
      <c r="G35" s="159">
        <v>88973.759999999995</v>
      </c>
    </row>
    <row r="36" spans="1:7" x14ac:dyDescent="0.25">
      <c r="A36" s="78">
        <v>230907</v>
      </c>
      <c r="B36" s="80">
        <v>52390</v>
      </c>
      <c r="C36" s="159">
        <v>52063</v>
      </c>
      <c r="D36" s="161"/>
      <c r="E36" s="78">
        <v>286970</v>
      </c>
      <c r="F36" s="188">
        <v>88973.759999999995</v>
      </c>
      <c r="G36" s="159">
        <v>88421.62</v>
      </c>
    </row>
    <row r="37" spans="1:7" x14ac:dyDescent="0.25">
      <c r="A37" s="78">
        <v>231058</v>
      </c>
      <c r="B37" s="80">
        <v>52063</v>
      </c>
      <c r="C37" s="159">
        <v>51737</v>
      </c>
      <c r="D37" s="161"/>
      <c r="E37" s="78">
        <v>287157</v>
      </c>
      <c r="F37" s="188">
        <v>88421.62</v>
      </c>
      <c r="G37" s="159">
        <v>87872.23</v>
      </c>
    </row>
    <row r="38" spans="1:7" x14ac:dyDescent="0.25">
      <c r="A38" s="78">
        <v>231209</v>
      </c>
      <c r="B38" s="80">
        <v>51737</v>
      </c>
      <c r="C38" s="159">
        <v>51413</v>
      </c>
      <c r="D38" s="161"/>
      <c r="E38" s="78">
        <v>287344</v>
      </c>
      <c r="F38" s="188">
        <v>87872.23</v>
      </c>
      <c r="G38" s="159">
        <v>87325.51</v>
      </c>
    </row>
    <row r="39" spans="1:7" x14ac:dyDescent="0.25">
      <c r="A39" s="78">
        <v>231359</v>
      </c>
      <c r="B39" s="80">
        <v>51413</v>
      </c>
      <c r="C39" s="159">
        <v>51089</v>
      </c>
      <c r="D39" s="161"/>
      <c r="E39" s="78">
        <v>287532</v>
      </c>
      <c r="F39" s="188">
        <v>87325.51</v>
      </c>
      <c r="G39" s="159">
        <v>86781.36</v>
      </c>
    </row>
    <row r="40" spans="1:7" x14ac:dyDescent="0.25">
      <c r="A40" s="78">
        <v>231510</v>
      </c>
      <c r="B40" s="80">
        <v>51089</v>
      </c>
      <c r="C40" s="159">
        <v>50768</v>
      </c>
      <c r="D40" s="161"/>
      <c r="E40" s="78">
        <v>287719</v>
      </c>
      <c r="F40" s="188">
        <v>86781.36</v>
      </c>
      <c r="G40" s="159">
        <v>86239.7</v>
      </c>
    </row>
    <row r="41" spans="1:7" x14ac:dyDescent="0.25">
      <c r="A41" s="78">
        <v>231661</v>
      </c>
      <c r="B41" s="80">
        <v>50768</v>
      </c>
      <c r="C41" s="159">
        <v>50447</v>
      </c>
      <c r="D41" s="161"/>
      <c r="E41" s="78">
        <v>287906</v>
      </c>
      <c r="F41" s="188">
        <v>86239.7</v>
      </c>
      <c r="G41" s="159">
        <v>85700.47</v>
      </c>
    </row>
    <row r="42" spans="1:7" x14ac:dyDescent="0.25">
      <c r="A42" s="78">
        <v>231811</v>
      </c>
      <c r="B42" s="80">
        <v>50447</v>
      </c>
      <c r="C42" s="159">
        <v>50129</v>
      </c>
      <c r="D42" s="161"/>
      <c r="E42" s="78">
        <v>288093</v>
      </c>
      <c r="F42" s="188">
        <v>85700.47</v>
      </c>
      <c r="G42" s="159">
        <v>85163.58</v>
      </c>
    </row>
    <row r="43" spans="1:7" x14ac:dyDescent="0.25">
      <c r="A43" s="78">
        <v>231962</v>
      </c>
      <c r="B43" s="80">
        <v>50129</v>
      </c>
      <c r="C43" s="159">
        <v>49812</v>
      </c>
      <c r="D43" s="161"/>
      <c r="E43" s="78">
        <v>288280</v>
      </c>
      <c r="F43" s="188">
        <v>85163.58</v>
      </c>
      <c r="G43" s="159">
        <v>84628.96</v>
      </c>
    </row>
    <row r="44" spans="1:7" x14ac:dyDescent="0.25">
      <c r="A44" s="78">
        <v>232112</v>
      </c>
      <c r="B44" s="80">
        <v>49812</v>
      </c>
      <c r="C44" s="159">
        <v>49495</v>
      </c>
      <c r="D44" s="161"/>
      <c r="E44" s="78">
        <v>288468</v>
      </c>
      <c r="F44" s="188">
        <v>84628.96</v>
      </c>
      <c r="G44" s="159">
        <v>84096.56</v>
      </c>
    </row>
    <row r="45" spans="1:7" x14ac:dyDescent="0.25">
      <c r="A45" s="78">
        <v>232263</v>
      </c>
      <c r="B45" s="80">
        <v>49495</v>
      </c>
      <c r="C45" s="159">
        <v>49180</v>
      </c>
      <c r="D45" s="161"/>
      <c r="E45" s="78">
        <v>288655</v>
      </c>
      <c r="F45" s="188">
        <v>84096.56</v>
      </c>
      <c r="G45" s="159">
        <v>83566.31</v>
      </c>
    </row>
    <row r="46" spans="1:7" x14ac:dyDescent="0.25">
      <c r="A46" s="78">
        <v>232414</v>
      </c>
      <c r="B46" s="80">
        <v>49180</v>
      </c>
      <c r="C46" s="159">
        <v>48867</v>
      </c>
      <c r="D46" s="161"/>
      <c r="E46" s="78">
        <v>288842</v>
      </c>
      <c r="F46" s="188">
        <v>83566.31</v>
      </c>
      <c r="G46" s="159">
        <v>83038.149999999994</v>
      </c>
    </row>
    <row r="47" spans="1:7" x14ac:dyDescent="0.25">
      <c r="A47" s="78">
        <v>232564</v>
      </c>
      <c r="B47" s="80">
        <v>48867</v>
      </c>
      <c r="C47" s="159">
        <v>48555</v>
      </c>
      <c r="D47" s="161"/>
      <c r="E47" s="78">
        <v>289029</v>
      </c>
      <c r="F47" s="188">
        <v>83038.149999999994</v>
      </c>
      <c r="G47" s="159">
        <v>82512.03</v>
      </c>
    </row>
    <row r="48" spans="1:7" x14ac:dyDescent="0.25">
      <c r="A48" s="78">
        <v>232715</v>
      </c>
      <c r="B48" s="80">
        <v>48555</v>
      </c>
      <c r="C48" s="159">
        <v>48244</v>
      </c>
      <c r="D48" s="161"/>
      <c r="E48" s="78">
        <v>289216</v>
      </c>
      <c r="F48" s="188">
        <v>82512.03</v>
      </c>
      <c r="G48" s="159">
        <v>81987.89</v>
      </c>
    </row>
    <row r="49" spans="1:7" x14ac:dyDescent="0.25">
      <c r="A49" s="78">
        <v>232866</v>
      </c>
      <c r="B49" s="80">
        <v>48244</v>
      </c>
      <c r="C49" s="159">
        <v>47935</v>
      </c>
      <c r="D49" s="161"/>
      <c r="E49" s="78">
        <v>289404</v>
      </c>
      <c r="F49" s="188">
        <v>81987.89</v>
      </c>
      <c r="G49" s="159">
        <v>81465.69</v>
      </c>
    </row>
    <row r="50" spans="1:7" x14ac:dyDescent="0.25">
      <c r="A50" s="78">
        <v>233016</v>
      </c>
      <c r="B50" s="80">
        <v>47935</v>
      </c>
      <c r="C50" s="159">
        <v>47624</v>
      </c>
      <c r="D50" s="161"/>
      <c r="E50" s="78">
        <v>289591</v>
      </c>
      <c r="F50" s="188">
        <v>81465.69</v>
      </c>
      <c r="G50" s="159">
        <v>80945.37</v>
      </c>
    </row>
    <row r="51" spans="1:7" x14ac:dyDescent="0.25">
      <c r="A51" s="78">
        <v>233167</v>
      </c>
      <c r="B51" s="80">
        <v>47624</v>
      </c>
      <c r="C51" s="159">
        <v>47317</v>
      </c>
      <c r="D51" s="161"/>
      <c r="E51" s="78">
        <v>289778</v>
      </c>
      <c r="F51" s="188">
        <v>80945.37</v>
      </c>
      <c r="G51" s="159">
        <v>80426.89</v>
      </c>
    </row>
    <row r="52" spans="1:7" x14ac:dyDescent="0.25">
      <c r="A52" s="78">
        <v>233317</v>
      </c>
      <c r="B52" s="80">
        <v>47317</v>
      </c>
      <c r="C52" s="159">
        <v>47011</v>
      </c>
      <c r="D52" s="161"/>
      <c r="E52" s="78">
        <v>289965</v>
      </c>
      <c r="F52" s="188">
        <v>80426.89</v>
      </c>
      <c r="G52" s="159">
        <v>79910.2</v>
      </c>
    </row>
    <row r="53" spans="1:7" x14ac:dyDescent="0.25">
      <c r="A53" s="78">
        <v>233468</v>
      </c>
      <c r="B53" s="80">
        <v>47011</v>
      </c>
      <c r="C53" s="159">
        <v>46706</v>
      </c>
      <c r="D53" s="161"/>
      <c r="E53" s="78">
        <v>290152</v>
      </c>
      <c r="F53" s="188">
        <v>79910.2</v>
      </c>
      <c r="G53" s="159">
        <v>79395.27</v>
      </c>
    </row>
    <row r="54" spans="1:7" x14ac:dyDescent="0.25">
      <c r="A54" s="78">
        <v>233619</v>
      </c>
      <c r="B54" s="80">
        <v>46706</v>
      </c>
      <c r="C54" s="159">
        <v>46400</v>
      </c>
      <c r="D54" s="161"/>
      <c r="E54" s="78">
        <v>290340</v>
      </c>
      <c r="F54" s="188">
        <v>79395.27</v>
      </c>
      <c r="G54" s="159">
        <v>78882.06</v>
      </c>
    </row>
    <row r="55" spans="1:7" x14ac:dyDescent="0.25">
      <c r="A55" s="78">
        <v>233769</v>
      </c>
      <c r="B55" s="80">
        <v>46400</v>
      </c>
      <c r="C55" s="159">
        <v>46097</v>
      </c>
      <c r="D55" s="161"/>
      <c r="E55" s="78">
        <v>290527</v>
      </c>
      <c r="F55" s="188">
        <v>78882.06</v>
      </c>
      <c r="G55" s="159">
        <v>78370.52</v>
      </c>
    </row>
    <row r="56" spans="1:7" x14ac:dyDescent="0.25">
      <c r="A56" s="78">
        <v>233920</v>
      </c>
      <c r="B56" s="80">
        <v>46097</v>
      </c>
      <c r="C56" s="159">
        <v>45794</v>
      </c>
      <c r="D56" s="161"/>
      <c r="E56" s="78">
        <v>290714</v>
      </c>
      <c r="F56" s="188">
        <v>78370.52</v>
      </c>
      <c r="G56" s="159">
        <v>77860.61</v>
      </c>
    </row>
    <row r="57" spans="1:7" x14ac:dyDescent="0.25">
      <c r="A57" s="78">
        <v>234071</v>
      </c>
      <c r="B57" s="80">
        <v>45794</v>
      </c>
      <c r="C57" s="159">
        <v>45493</v>
      </c>
      <c r="D57" s="161"/>
      <c r="E57" s="78">
        <v>290901</v>
      </c>
      <c r="F57" s="188">
        <v>77860.61</v>
      </c>
      <c r="G57" s="159">
        <v>77352.31</v>
      </c>
    </row>
    <row r="58" spans="1:7" x14ac:dyDescent="0.25">
      <c r="A58" s="78">
        <v>234221</v>
      </c>
      <c r="B58" s="80">
        <v>45493</v>
      </c>
      <c r="C58" s="159">
        <v>45192</v>
      </c>
      <c r="D58" s="161"/>
      <c r="E58" s="78">
        <v>291088</v>
      </c>
      <c r="F58" s="188">
        <v>77352.31</v>
      </c>
      <c r="G58" s="159">
        <v>76845.58</v>
      </c>
    </row>
    <row r="59" spans="1:7" x14ac:dyDescent="0.25">
      <c r="A59" s="78">
        <v>234372</v>
      </c>
      <c r="B59" s="80">
        <v>45192</v>
      </c>
      <c r="C59" s="159">
        <v>44892</v>
      </c>
      <c r="D59" s="161"/>
      <c r="E59" s="78">
        <v>291275</v>
      </c>
      <c r="F59" s="188">
        <v>76845.58</v>
      </c>
      <c r="G59" s="159">
        <v>76340.38</v>
      </c>
    </row>
    <row r="60" spans="1:7" x14ac:dyDescent="0.25">
      <c r="A60" s="78">
        <v>234522</v>
      </c>
      <c r="B60" s="80">
        <v>44892</v>
      </c>
      <c r="C60" s="159">
        <v>44592</v>
      </c>
      <c r="D60" s="161"/>
      <c r="E60" s="78">
        <v>291463</v>
      </c>
      <c r="F60" s="188">
        <v>76340.38</v>
      </c>
      <c r="G60" s="159">
        <v>75836.69</v>
      </c>
    </row>
    <row r="61" spans="1:7" x14ac:dyDescent="0.25">
      <c r="A61" s="78">
        <v>234673</v>
      </c>
      <c r="B61" s="80">
        <v>44592</v>
      </c>
      <c r="C61" s="159">
        <v>44294</v>
      </c>
      <c r="D61" s="161"/>
      <c r="E61" s="78">
        <v>291650</v>
      </c>
      <c r="F61" s="188">
        <v>75836.69</v>
      </c>
      <c r="G61" s="159">
        <v>75334.48</v>
      </c>
    </row>
    <row r="62" spans="1:7" x14ac:dyDescent="0.25">
      <c r="A62" s="78">
        <v>234824</v>
      </c>
      <c r="B62" s="80">
        <v>44294</v>
      </c>
      <c r="C62" s="159">
        <v>43997</v>
      </c>
      <c r="D62" s="161"/>
      <c r="E62" s="78">
        <v>291837</v>
      </c>
      <c r="F62" s="188">
        <v>75334.48</v>
      </c>
      <c r="G62" s="159">
        <v>74833.7</v>
      </c>
    </row>
    <row r="63" spans="1:7" x14ac:dyDescent="0.25">
      <c r="A63" s="78">
        <v>234974</v>
      </c>
      <c r="B63" s="80">
        <v>43997</v>
      </c>
      <c r="C63" s="159">
        <v>43701</v>
      </c>
      <c r="D63" s="161"/>
      <c r="E63" s="78">
        <v>292024</v>
      </c>
      <c r="F63" s="188">
        <v>74833.7</v>
      </c>
      <c r="G63" s="159">
        <v>74334.350000000006</v>
      </c>
    </row>
    <row r="64" spans="1:7" x14ac:dyDescent="0.25">
      <c r="A64" s="78">
        <v>235125</v>
      </c>
      <c r="B64" s="80">
        <v>43701</v>
      </c>
      <c r="C64" s="159">
        <v>43405</v>
      </c>
      <c r="D64" s="161"/>
      <c r="E64" s="78">
        <v>292211</v>
      </c>
      <c r="F64" s="188">
        <v>74334.350000000006</v>
      </c>
      <c r="G64" s="159">
        <v>73836.38</v>
      </c>
    </row>
    <row r="65" spans="1:7" x14ac:dyDescent="0.25">
      <c r="A65" s="78">
        <v>235276</v>
      </c>
      <c r="B65" s="80">
        <v>43405</v>
      </c>
      <c r="C65" s="159">
        <v>43110</v>
      </c>
      <c r="D65" s="161"/>
      <c r="E65" s="78">
        <v>292399</v>
      </c>
      <c r="F65" s="188">
        <v>73836.38</v>
      </c>
      <c r="G65" s="159">
        <v>73339.78</v>
      </c>
    </row>
    <row r="66" spans="1:7" x14ac:dyDescent="0.25">
      <c r="A66" s="78">
        <v>235426</v>
      </c>
      <c r="B66" s="80">
        <v>43110</v>
      </c>
      <c r="C66" s="159">
        <v>42817</v>
      </c>
      <c r="D66" s="161"/>
      <c r="E66" s="78">
        <v>292586</v>
      </c>
      <c r="F66" s="188">
        <v>73339.78</v>
      </c>
      <c r="G66" s="159">
        <v>72844.52</v>
      </c>
    </row>
    <row r="67" spans="1:7" x14ac:dyDescent="0.25">
      <c r="A67" s="78">
        <v>235577</v>
      </c>
      <c r="B67" s="80">
        <v>42817</v>
      </c>
      <c r="C67" s="159">
        <v>42523</v>
      </c>
      <c r="D67" s="161"/>
      <c r="E67" s="78">
        <v>292773</v>
      </c>
      <c r="F67" s="188">
        <v>72844.52</v>
      </c>
      <c r="G67" s="159">
        <v>72350.570000000007</v>
      </c>
    </row>
    <row r="68" spans="1:7" x14ac:dyDescent="0.25">
      <c r="A68" s="78">
        <v>235727</v>
      </c>
      <c r="B68" s="80">
        <v>42523</v>
      </c>
      <c r="C68" s="159">
        <v>42231</v>
      </c>
      <c r="D68" s="161"/>
      <c r="E68" s="78">
        <v>292960</v>
      </c>
      <c r="F68" s="188">
        <v>72350.570000000007</v>
      </c>
      <c r="G68" s="159">
        <v>71857.91</v>
      </c>
    </row>
    <row r="69" spans="1:7" x14ac:dyDescent="0.25">
      <c r="A69" s="78">
        <v>235878</v>
      </c>
      <c r="B69" s="80">
        <v>42231</v>
      </c>
      <c r="C69" s="159">
        <v>41940</v>
      </c>
      <c r="D69" s="161"/>
      <c r="E69" s="78">
        <v>293147</v>
      </c>
      <c r="F69" s="188">
        <v>71857.91</v>
      </c>
      <c r="G69" s="159">
        <v>71366.509999999995</v>
      </c>
    </row>
    <row r="70" spans="1:7" x14ac:dyDescent="0.25">
      <c r="A70" s="78">
        <v>236029</v>
      </c>
      <c r="B70" s="80">
        <v>41940</v>
      </c>
      <c r="C70" s="159">
        <v>41649</v>
      </c>
      <c r="D70" s="161"/>
      <c r="E70" s="78">
        <v>293335</v>
      </c>
      <c r="F70" s="188">
        <v>71366.509999999995</v>
      </c>
      <c r="G70" s="159">
        <v>70876.37</v>
      </c>
    </row>
    <row r="71" spans="1:7" x14ac:dyDescent="0.25">
      <c r="A71" s="78">
        <v>236179</v>
      </c>
      <c r="B71" s="80">
        <v>41649</v>
      </c>
      <c r="C71" s="159">
        <v>41358</v>
      </c>
      <c r="D71" s="161"/>
      <c r="E71" s="78">
        <v>293522</v>
      </c>
      <c r="F71" s="188">
        <v>70876.37</v>
      </c>
      <c r="G71" s="159">
        <v>70387.44</v>
      </c>
    </row>
    <row r="72" spans="1:7" x14ac:dyDescent="0.25">
      <c r="A72" s="78">
        <v>236330</v>
      </c>
      <c r="B72" s="80">
        <v>41358</v>
      </c>
      <c r="C72" s="159">
        <v>41069</v>
      </c>
      <c r="D72" s="161"/>
      <c r="E72" s="78">
        <v>293709</v>
      </c>
      <c r="F72" s="188">
        <v>70387.44</v>
      </c>
      <c r="G72" s="159">
        <v>69899.72</v>
      </c>
    </row>
    <row r="73" spans="1:7" x14ac:dyDescent="0.25">
      <c r="A73" s="78">
        <v>236481</v>
      </c>
      <c r="B73" s="80">
        <v>41069</v>
      </c>
      <c r="C73" s="159">
        <v>40780</v>
      </c>
      <c r="D73" s="161"/>
      <c r="E73" s="78">
        <v>293896</v>
      </c>
      <c r="F73" s="188">
        <v>69899.72</v>
      </c>
      <c r="G73" s="159">
        <v>69413.19</v>
      </c>
    </row>
    <row r="74" spans="1:7" x14ac:dyDescent="0.25">
      <c r="A74" s="78">
        <v>236631</v>
      </c>
      <c r="B74" s="80">
        <v>40780</v>
      </c>
      <c r="C74" s="159">
        <v>40492</v>
      </c>
      <c r="D74" s="161"/>
      <c r="E74" s="78">
        <v>294083</v>
      </c>
      <c r="F74" s="188">
        <v>69413.19</v>
      </c>
      <c r="G74" s="159">
        <v>68927.81</v>
      </c>
    </row>
    <row r="75" spans="1:7" x14ac:dyDescent="0.25">
      <c r="A75" s="78">
        <v>236782</v>
      </c>
      <c r="B75" s="80">
        <v>40492</v>
      </c>
      <c r="C75" s="159">
        <v>40205</v>
      </c>
      <c r="D75" s="161"/>
      <c r="E75" s="78">
        <v>294271</v>
      </c>
      <c r="F75" s="188">
        <v>68927.81</v>
      </c>
      <c r="G75" s="159">
        <v>68443.58</v>
      </c>
    </row>
    <row r="76" spans="1:7" x14ac:dyDescent="0.25">
      <c r="A76" s="78">
        <v>236932</v>
      </c>
      <c r="B76" s="80">
        <v>40205</v>
      </c>
      <c r="C76" s="159">
        <v>39917</v>
      </c>
      <c r="D76" s="161"/>
      <c r="E76" s="78">
        <v>294458</v>
      </c>
      <c r="F76" s="188">
        <v>68443.58</v>
      </c>
      <c r="G76" s="159">
        <v>67960.479999999996</v>
      </c>
    </row>
    <row r="77" spans="1:7" x14ac:dyDescent="0.25">
      <c r="A77" s="78">
        <v>237083</v>
      </c>
      <c r="B77" s="80">
        <v>39917</v>
      </c>
      <c r="C77" s="159">
        <v>39631</v>
      </c>
      <c r="D77" s="161"/>
      <c r="E77" s="78">
        <v>294645</v>
      </c>
      <c r="F77" s="188">
        <v>67960.479999999996</v>
      </c>
      <c r="G77" s="159">
        <v>67478.490000000005</v>
      </c>
    </row>
    <row r="78" spans="1:7" x14ac:dyDescent="0.25">
      <c r="A78" s="78">
        <v>237234</v>
      </c>
      <c r="B78" s="80">
        <v>39631</v>
      </c>
      <c r="C78" s="159">
        <v>39346</v>
      </c>
      <c r="D78" s="161"/>
      <c r="E78" s="78">
        <v>294832</v>
      </c>
      <c r="F78" s="188">
        <v>67478.490000000005</v>
      </c>
      <c r="G78" s="159">
        <v>66997.58</v>
      </c>
    </row>
    <row r="79" spans="1:7" x14ac:dyDescent="0.25">
      <c r="A79" s="78">
        <v>237384</v>
      </c>
      <c r="B79" s="80">
        <v>39346</v>
      </c>
      <c r="C79" s="159">
        <v>39061</v>
      </c>
      <c r="D79" s="161"/>
      <c r="E79" s="78">
        <v>295019</v>
      </c>
      <c r="F79" s="188">
        <v>66997.58</v>
      </c>
      <c r="G79" s="159">
        <v>66517.75</v>
      </c>
    </row>
    <row r="80" spans="1:7" x14ac:dyDescent="0.25">
      <c r="A80" s="78">
        <v>237535</v>
      </c>
      <c r="B80" s="80">
        <v>39061</v>
      </c>
      <c r="C80" s="159">
        <v>38777</v>
      </c>
      <c r="D80" s="161"/>
      <c r="E80" s="78">
        <v>295207</v>
      </c>
      <c r="F80" s="188">
        <v>66517.75</v>
      </c>
      <c r="G80" s="159">
        <v>66038.98</v>
      </c>
    </row>
    <row r="81" spans="1:7" x14ac:dyDescent="0.25">
      <c r="A81" s="78">
        <v>237686</v>
      </c>
      <c r="B81" s="80">
        <v>38777</v>
      </c>
      <c r="C81" s="159">
        <v>38494</v>
      </c>
      <c r="D81" s="161"/>
      <c r="E81" s="78">
        <v>295394</v>
      </c>
      <c r="F81" s="188">
        <v>66038.98</v>
      </c>
      <c r="G81" s="159">
        <v>65561.259999999995</v>
      </c>
    </row>
    <row r="82" spans="1:7" x14ac:dyDescent="0.25">
      <c r="A82" s="78">
        <v>237836</v>
      </c>
      <c r="B82" s="80">
        <v>38494</v>
      </c>
      <c r="C82" s="159">
        <v>38210</v>
      </c>
      <c r="D82" s="161"/>
      <c r="E82" s="78">
        <v>295581</v>
      </c>
      <c r="F82" s="188">
        <v>65561.259999999995</v>
      </c>
      <c r="G82" s="159">
        <v>65084.56</v>
      </c>
    </row>
    <row r="83" spans="1:7" x14ac:dyDescent="0.25">
      <c r="A83" s="78">
        <v>237987</v>
      </c>
      <c r="B83" s="80">
        <v>38210</v>
      </c>
      <c r="C83" s="159">
        <v>37929</v>
      </c>
      <c r="D83" s="161"/>
      <c r="E83" s="78">
        <v>295768</v>
      </c>
      <c r="F83" s="188">
        <v>65084.56</v>
      </c>
      <c r="G83" s="159">
        <v>64608.87</v>
      </c>
    </row>
    <row r="84" spans="1:7" x14ac:dyDescent="0.25">
      <c r="A84" s="78">
        <v>238137</v>
      </c>
      <c r="B84" s="80">
        <v>37929</v>
      </c>
      <c r="C84" s="159">
        <v>37647</v>
      </c>
      <c r="D84" s="161"/>
      <c r="E84" s="78">
        <v>295955</v>
      </c>
      <c r="F84" s="188">
        <v>64608.87</v>
      </c>
      <c r="G84" s="159">
        <v>64134.17</v>
      </c>
    </row>
    <row r="85" spans="1:7" x14ac:dyDescent="0.25">
      <c r="A85" s="78">
        <v>238288</v>
      </c>
      <c r="B85" s="80">
        <v>37647</v>
      </c>
      <c r="C85" s="159">
        <v>37365</v>
      </c>
      <c r="D85" s="161"/>
      <c r="E85" s="78">
        <v>296143</v>
      </c>
      <c r="F85" s="188">
        <v>64134.17</v>
      </c>
      <c r="G85" s="159">
        <v>63660.47</v>
      </c>
    </row>
    <row r="86" spans="1:7" x14ac:dyDescent="0.25">
      <c r="A86" s="78">
        <v>238439</v>
      </c>
      <c r="B86" s="80">
        <v>37365</v>
      </c>
      <c r="C86" s="159">
        <v>37085</v>
      </c>
      <c r="D86" s="161"/>
      <c r="E86" s="78">
        <v>296330</v>
      </c>
      <c r="F86" s="188">
        <v>63660.47</v>
      </c>
      <c r="G86" s="159">
        <v>63187.73</v>
      </c>
    </row>
    <row r="87" spans="1:7" x14ac:dyDescent="0.25">
      <c r="A87" s="78">
        <v>238589</v>
      </c>
      <c r="B87" s="80">
        <v>37085</v>
      </c>
      <c r="C87" s="159">
        <v>36805</v>
      </c>
      <c r="D87" s="161"/>
      <c r="E87" s="78">
        <v>296517</v>
      </c>
      <c r="F87" s="188">
        <v>63187.73</v>
      </c>
      <c r="G87" s="159">
        <v>62715.94</v>
      </c>
    </row>
    <row r="88" spans="1:7" x14ac:dyDescent="0.25">
      <c r="A88" s="78">
        <v>238740</v>
      </c>
      <c r="B88" s="80">
        <v>36805</v>
      </c>
      <c r="C88" s="159">
        <v>36525</v>
      </c>
      <c r="D88" s="161"/>
      <c r="E88" s="78">
        <v>296704</v>
      </c>
      <c r="F88" s="188">
        <v>62715.94</v>
      </c>
      <c r="G88" s="159">
        <v>62245.1</v>
      </c>
    </row>
    <row r="89" spans="1:7" x14ac:dyDescent="0.25">
      <c r="A89" s="78">
        <v>238891</v>
      </c>
      <c r="B89" s="80">
        <v>36525</v>
      </c>
      <c r="C89" s="159">
        <v>36246</v>
      </c>
      <c r="D89" s="161"/>
      <c r="E89" s="78">
        <v>296891</v>
      </c>
      <c r="F89" s="188">
        <v>62245.1</v>
      </c>
      <c r="G89" s="159">
        <v>61775.19</v>
      </c>
    </row>
    <row r="90" spans="1:7" x14ac:dyDescent="0.25">
      <c r="A90" s="78">
        <v>239041</v>
      </c>
      <c r="B90" s="80">
        <v>36246</v>
      </c>
      <c r="C90" s="159">
        <v>35968</v>
      </c>
      <c r="D90" s="161"/>
      <c r="E90" s="78">
        <v>297079</v>
      </c>
      <c r="F90" s="188">
        <v>61775.19</v>
      </c>
      <c r="G90" s="159">
        <v>61306.2</v>
      </c>
    </row>
    <row r="91" spans="1:7" x14ac:dyDescent="0.25">
      <c r="A91" s="78">
        <v>239192</v>
      </c>
      <c r="B91" s="80">
        <v>35968</v>
      </c>
      <c r="C91" s="159">
        <v>35690</v>
      </c>
      <c r="D91" s="161"/>
      <c r="E91" s="78">
        <v>297266</v>
      </c>
      <c r="F91" s="188">
        <v>61306.2</v>
      </c>
      <c r="G91" s="159">
        <v>60838.11</v>
      </c>
    </row>
    <row r="92" spans="1:7" x14ac:dyDescent="0.25">
      <c r="A92" s="78">
        <v>239342</v>
      </c>
      <c r="B92" s="80">
        <v>35690</v>
      </c>
      <c r="C92" s="159">
        <v>35413</v>
      </c>
      <c r="D92" s="161"/>
      <c r="E92" s="78">
        <v>297453</v>
      </c>
      <c r="F92" s="188">
        <v>60838.11</v>
      </c>
      <c r="G92" s="159">
        <v>60370.91</v>
      </c>
    </row>
    <row r="93" spans="1:7" x14ac:dyDescent="0.25">
      <c r="A93" s="78">
        <v>239493</v>
      </c>
      <c r="B93" s="80">
        <v>35413</v>
      </c>
      <c r="C93" s="159">
        <v>35136</v>
      </c>
      <c r="D93" s="161"/>
      <c r="E93" s="78">
        <v>297640</v>
      </c>
      <c r="F93" s="188">
        <v>60370.91</v>
      </c>
      <c r="G93" s="159">
        <v>59904.6</v>
      </c>
    </row>
    <row r="94" spans="1:7" x14ac:dyDescent="0.25">
      <c r="A94" s="78">
        <v>239644</v>
      </c>
      <c r="B94" s="80">
        <v>35136</v>
      </c>
      <c r="C94" s="159">
        <v>34859</v>
      </c>
      <c r="D94" s="161"/>
      <c r="E94" s="78">
        <v>297827</v>
      </c>
      <c r="F94" s="188">
        <v>59904.6</v>
      </c>
      <c r="G94" s="159">
        <v>59439.15</v>
      </c>
    </row>
    <row r="95" spans="1:7" x14ac:dyDescent="0.25">
      <c r="A95" s="78">
        <v>239794</v>
      </c>
      <c r="B95" s="80">
        <v>34859</v>
      </c>
      <c r="C95" s="159">
        <v>34583</v>
      </c>
      <c r="D95" s="161"/>
      <c r="E95" s="78">
        <v>298015</v>
      </c>
      <c r="F95" s="188">
        <v>59439.15</v>
      </c>
      <c r="G95" s="159">
        <v>58974.57</v>
      </c>
    </row>
    <row r="96" spans="1:7" x14ac:dyDescent="0.25">
      <c r="A96" s="78">
        <v>239945</v>
      </c>
      <c r="B96" s="80">
        <v>34583</v>
      </c>
      <c r="C96" s="159">
        <v>34309</v>
      </c>
      <c r="D96" s="161"/>
      <c r="E96" s="78">
        <v>298202</v>
      </c>
      <c r="F96" s="188">
        <v>58974.57</v>
      </c>
      <c r="G96" s="159">
        <v>58510.83</v>
      </c>
    </row>
    <row r="97" spans="1:7" x14ac:dyDescent="0.25">
      <c r="A97" s="78">
        <v>240096</v>
      </c>
      <c r="B97" s="80">
        <v>34309</v>
      </c>
      <c r="C97" s="159">
        <v>34034</v>
      </c>
      <c r="D97" s="161"/>
      <c r="E97" s="78">
        <v>298389</v>
      </c>
      <c r="F97" s="188">
        <v>58510.83</v>
      </c>
      <c r="G97" s="159">
        <v>58047.93</v>
      </c>
    </row>
    <row r="98" spans="1:7" x14ac:dyDescent="0.25">
      <c r="A98" s="78">
        <v>240246</v>
      </c>
      <c r="B98" s="80">
        <v>34034</v>
      </c>
      <c r="C98" s="159">
        <v>33759</v>
      </c>
      <c r="D98" s="161"/>
      <c r="E98" s="78">
        <v>298576</v>
      </c>
      <c r="F98" s="188">
        <v>58047.93</v>
      </c>
      <c r="G98" s="159">
        <v>57585.86</v>
      </c>
    </row>
    <row r="99" spans="1:7" x14ac:dyDescent="0.25">
      <c r="A99" s="78">
        <v>240397</v>
      </c>
      <c r="B99" s="80">
        <v>33759</v>
      </c>
      <c r="C99" s="159">
        <v>33485</v>
      </c>
      <c r="D99" s="161"/>
      <c r="E99" s="78">
        <v>298763</v>
      </c>
      <c r="F99" s="188">
        <v>57585.86</v>
      </c>
      <c r="G99" s="159">
        <v>57124.61</v>
      </c>
    </row>
    <row r="100" spans="1:7" x14ac:dyDescent="0.25">
      <c r="A100" s="78">
        <v>240547</v>
      </c>
      <c r="B100" s="80">
        <v>33485</v>
      </c>
      <c r="C100" s="159">
        <v>33213</v>
      </c>
      <c r="D100" s="161"/>
      <c r="E100" s="78">
        <v>298950</v>
      </c>
      <c r="F100" s="188">
        <v>57124.61</v>
      </c>
      <c r="G100" s="159">
        <v>56664.17</v>
      </c>
    </row>
    <row r="101" spans="1:7" x14ac:dyDescent="0.25">
      <c r="A101" s="78">
        <v>240698</v>
      </c>
      <c r="B101" s="80">
        <v>33213</v>
      </c>
      <c r="C101" s="159">
        <v>32940</v>
      </c>
      <c r="D101" s="161"/>
      <c r="E101" s="78">
        <v>299138</v>
      </c>
      <c r="F101" s="188">
        <v>56664.17</v>
      </c>
      <c r="G101" s="159">
        <v>56204.52</v>
      </c>
    </row>
    <row r="102" spans="1:7" x14ac:dyDescent="0.25">
      <c r="A102" s="78">
        <v>240849</v>
      </c>
      <c r="B102" s="80">
        <v>32940</v>
      </c>
      <c r="C102" s="159">
        <v>32667</v>
      </c>
      <c r="D102" s="161"/>
      <c r="E102" s="78">
        <v>299325</v>
      </c>
      <c r="F102" s="188">
        <v>56204.52</v>
      </c>
      <c r="G102" s="159">
        <v>55745.66</v>
      </c>
    </row>
    <row r="103" spans="1:7" x14ac:dyDescent="0.25">
      <c r="A103" s="78">
        <v>240999</v>
      </c>
      <c r="B103" s="80">
        <v>32667</v>
      </c>
      <c r="C103" s="159">
        <v>32395</v>
      </c>
      <c r="D103" s="161"/>
      <c r="E103" s="78">
        <v>299512</v>
      </c>
      <c r="F103" s="188">
        <v>55745.66</v>
      </c>
      <c r="G103" s="159">
        <v>55287.58</v>
      </c>
    </row>
    <row r="104" spans="1:7" x14ac:dyDescent="0.25">
      <c r="A104" s="78">
        <v>241150</v>
      </c>
      <c r="B104" s="80">
        <v>32395</v>
      </c>
      <c r="C104" s="159">
        <v>32124</v>
      </c>
      <c r="D104" s="161"/>
      <c r="E104" s="78">
        <v>299699</v>
      </c>
      <c r="F104" s="188">
        <v>55287.58</v>
      </c>
      <c r="G104" s="159">
        <v>54830.27</v>
      </c>
    </row>
    <row r="105" spans="1:7" x14ac:dyDescent="0.25">
      <c r="A105" s="78">
        <v>241301</v>
      </c>
      <c r="B105" s="80">
        <v>32124</v>
      </c>
      <c r="C105" s="159">
        <v>31853</v>
      </c>
      <c r="D105" s="161"/>
      <c r="E105" s="78">
        <v>299886</v>
      </c>
      <c r="F105" s="188">
        <v>54830.27</v>
      </c>
      <c r="G105" s="159">
        <v>54373.72</v>
      </c>
    </row>
    <row r="106" spans="1:7" x14ac:dyDescent="0.25">
      <c r="A106" s="78">
        <v>241451</v>
      </c>
      <c r="B106" s="80">
        <v>31853</v>
      </c>
      <c r="C106" s="159">
        <v>31583</v>
      </c>
      <c r="D106" s="161"/>
      <c r="E106" s="78">
        <v>300074</v>
      </c>
      <c r="F106" s="188">
        <v>54373.72</v>
      </c>
      <c r="G106" s="159">
        <v>53917.93</v>
      </c>
    </row>
    <row r="107" spans="1:7" x14ac:dyDescent="0.25">
      <c r="A107" s="78">
        <v>241602</v>
      </c>
      <c r="B107" s="80">
        <v>31583</v>
      </c>
      <c r="C107" s="159">
        <v>31312</v>
      </c>
      <c r="D107" s="161"/>
      <c r="E107" s="78">
        <v>300261</v>
      </c>
      <c r="F107" s="188">
        <v>53917.93</v>
      </c>
      <c r="G107" s="159">
        <v>53462.879999999997</v>
      </c>
    </row>
    <row r="108" spans="1:7" x14ac:dyDescent="0.25">
      <c r="A108" s="78">
        <v>241752</v>
      </c>
      <c r="B108" s="80">
        <v>31312</v>
      </c>
      <c r="C108" s="159">
        <v>31042</v>
      </c>
      <c r="D108" s="161"/>
      <c r="E108" s="78">
        <v>300448</v>
      </c>
      <c r="F108" s="188">
        <v>53462.879999999997</v>
      </c>
      <c r="G108" s="159">
        <v>53008.57</v>
      </c>
    </row>
    <row r="109" spans="1:7" x14ac:dyDescent="0.25">
      <c r="A109" s="78">
        <v>241903</v>
      </c>
      <c r="B109" s="80">
        <v>31042</v>
      </c>
      <c r="C109" s="159">
        <v>30773</v>
      </c>
      <c r="D109" s="161"/>
      <c r="E109" s="78">
        <v>300635</v>
      </c>
      <c r="F109" s="188">
        <v>53008.57</v>
      </c>
      <c r="G109" s="159">
        <v>52554.98</v>
      </c>
    </row>
    <row r="110" spans="1:7" x14ac:dyDescent="0.25">
      <c r="A110" s="78">
        <v>242054</v>
      </c>
      <c r="B110" s="80">
        <v>30773</v>
      </c>
      <c r="C110" s="159">
        <v>30504</v>
      </c>
      <c r="D110" s="161"/>
      <c r="E110" s="78">
        <v>300822</v>
      </c>
      <c r="F110" s="188">
        <v>52554.98</v>
      </c>
      <c r="G110" s="159">
        <v>52102.11</v>
      </c>
    </row>
    <row r="111" spans="1:7" x14ac:dyDescent="0.25">
      <c r="A111" s="78">
        <v>242204</v>
      </c>
      <c r="B111" s="80">
        <v>30504</v>
      </c>
      <c r="C111" s="159">
        <v>30236</v>
      </c>
      <c r="D111" s="161"/>
      <c r="E111" s="78">
        <v>301010</v>
      </c>
      <c r="F111" s="188">
        <v>52102.11</v>
      </c>
      <c r="G111" s="159">
        <v>51649.96</v>
      </c>
    </row>
    <row r="112" spans="1:7" x14ac:dyDescent="0.25">
      <c r="A112" s="78">
        <v>242355</v>
      </c>
      <c r="B112" s="80">
        <v>30236</v>
      </c>
      <c r="C112" s="159">
        <v>29968</v>
      </c>
      <c r="D112" s="161"/>
      <c r="E112" s="78">
        <v>301197</v>
      </c>
      <c r="F112" s="188">
        <v>51649.96</v>
      </c>
      <c r="G112" s="159">
        <v>51198.51</v>
      </c>
    </row>
    <row r="113" spans="1:7" x14ac:dyDescent="0.25">
      <c r="A113" s="78">
        <v>242506</v>
      </c>
      <c r="B113" s="80">
        <v>29968</v>
      </c>
      <c r="C113" s="159">
        <v>29700</v>
      </c>
      <c r="D113" s="161"/>
      <c r="E113" s="78">
        <v>301384</v>
      </c>
      <c r="F113" s="188">
        <v>51198.51</v>
      </c>
      <c r="G113" s="159">
        <v>50747.76</v>
      </c>
    </row>
    <row r="114" spans="1:7" x14ac:dyDescent="0.25">
      <c r="A114" s="78">
        <v>242656</v>
      </c>
      <c r="B114" s="80">
        <v>29700</v>
      </c>
      <c r="C114" s="159">
        <v>29434</v>
      </c>
      <c r="D114" s="161"/>
      <c r="E114" s="78">
        <v>301571</v>
      </c>
      <c r="F114" s="188">
        <v>50747.76</v>
      </c>
      <c r="G114" s="159">
        <v>50297.7</v>
      </c>
    </row>
    <row r="115" spans="1:7" x14ac:dyDescent="0.25">
      <c r="A115" s="78">
        <v>242807</v>
      </c>
      <c r="B115" s="80">
        <v>29434</v>
      </c>
      <c r="C115" s="159">
        <v>29167</v>
      </c>
      <c r="D115" s="161"/>
      <c r="E115" s="78">
        <v>301758</v>
      </c>
      <c r="F115" s="188">
        <v>50297.7</v>
      </c>
      <c r="G115" s="159">
        <v>49848.32</v>
      </c>
    </row>
    <row r="116" spans="1:7" x14ac:dyDescent="0.25">
      <c r="A116" s="78">
        <v>242957</v>
      </c>
      <c r="B116" s="80">
        <v>29167</v>
      </c>
      <c r="C116" s="159">
        <v>28900</v>
      </c>
      <c r="D116" s="161"/>
      <c r="E116" s="78">
        <v>301946</v>
      </c>
      <c r="F116" s="188">
        <v>49848.32</v>
      </c>
      <c r="G116" s="159">
        <v>49399.61</v>
      </c>
    </row>
    <row r="117" spans="1:7" x14ac:dyDescent="0.25">
      <c r="A117" s="78">
        <v>243108</v>
      </c>
      <c r="B117" s="80">
        <v>28900</v>
      </c>
      <c r="C117" s="159">
        <v>28634</v>
      </c>
      <c r="D117" s="161"/>
      <c r="E117" s="78">
        <v>302133</v>
      </c>
      <c r="F117" s="188">
        <v>49399.61</v>
      </c>
      <c r="G117" s="159">
        <v>48951.58</v>
      </c>
    </row>
    <row r="118" spans="1:7" x14ac:dyDescent="0.25">
      <c r="A118" s="78">
        <v>243259</v>
      </c>
      <c r="B118" s="80">
        <v>28634</v>
      </c>
      <c r="C118" s="159">
        <v>28369</v>
      </c>
      <c r="D118" s="161"/>
      <c r="E118" s="78">
        <v>302320</v>
      </c>
      <c r="F118" s="188">
        <v>48951.58</v>
      </c>
      <c r="G118" s="159">
        <v>48504.21</v>
      </c>
    </row>
    <row r="119" spans="1:7" x14ac:dyDescent="0.25">
      <c r="A119" s="78">
        <v>243409</v>
      </c>
      <c r="B119" s="80">
        <v>28369</v>
      </c>
      <c r="C119" s="159">
        <v>28104</v>
      </c>
      <c r="D119" s="161"/>
      <c r="E119" s="78">
        <v>302507</v>
      </c>
      <c r="F119" s="188">
        <v>48504.21</v>
      </c>
      <c r="G119" s="159">
        <v>48057.49</v>
      </c>
    </row>
    <row r="120" spans="1:7" x14ac:dyDescent="0.25">
      <c r="A120" s="78">
        <v>243560</v>
      </c>
      <c r="B120" s="80">
        <v>28104</v>
      </c>
      <c r="C120" s="159">
        <v>27838</v>
      </c>
      <c r="D120" s="161"/>
      <c r="E120" s="78">
        <v>302694</v>
      </c>
      <c r="F120" s="188">
        <v>48057.49</v>
      </c>
      <c r="G120" s="159">
        <v>47611.42</v>
      </c>
    </row>
    <row r="121" spans="1:7" x14ac:dyDescent="0.25">
      <c r="A121" s="78">
        <v>243711</v>
      </c>
      <c r="B121" s="80">
        <v>27838</v>
      </c>
      <c r="C121" s="159">
        <v>27575</v>
      </c>
      <c r="D121" s="161"/>
      <c r="E121" s="78">
        <v>302882</v>
      </c>
      <c r="F121" s="188">
        <v>47611.42</v>
      </c>
      <c r="G121" s="159">
        <v>47165.99</v>
      </c>
    </row>
    <row r="122" spans="1:7" x14ac:dyDescent="0.25">
      <c r="A122" s="78">
        <v>243861</v>
      </c>
      <c r="B122" s="80">
        <v>27575</v>
      </c>
      <c r="C122" s="159">
        <v>27311</v>
      </c>
      <c r="D122" s="161"/>
      <c r="E122" s="78">
        <v>303069</v>
      </c>
      <c r="F122" s="188">
        <v>47165.99</v>
      </c>
      <c r="G122" s="159">
        <v>46721.2</v>
      </c>
    </row>
    <row r="123" spans="1:7" x14ac:dyDescent="0.25">
      <c r="A123" s="78">
        <v>244012</v>
      </c>
      <c r="B123" s="80">
        <v>27311</v>
      </c>
      <c r="C123" s="159">
        <v>27048</v>
      </c>
      <c r="D123" s="161"/>
      <c r="E123" s="78">
        <v>303256</v>
      </c>
      <c r="F123" s="188">
        <v>46721.2</v>
      </c>
      <c r="G123" s="159">
        <v>46277.04</v>
      </c>
    </row>
    <row r="124" spans="1:7" x14ac:dyDescent="0.25">
      <c r="A124" s="78">
        <v>244162</v>
      </c>
      <c r="B124" s="80">
        <v>27048</v>
      </c>
      <c r="C124" s="159">
        <v>26784</v>
      </c>
      <c r="D124" s="161"/>
      <c r="E124" s="78">
        <v>303443</v>
      </c>
      <c r="F124" s="188">
        <v>46277.04</v>
      </c>
      <c r="G124" s="159">
        <v>45833.5</v>
      </c>
    </row>
    <row r="125" spans="1:7" x14ac:dyDescent="0.25">
      <c r="A125" s="78">
        <v>244313</v>
      </c>
      <c r="B125" s="80">
        <v>26784</v>
      </c>
      <c r="C125" s="159">
        <v>26520</v>
      </c>
      <c r="D125" s="161"/>
      <c r="E125" s="78">
        <v>303630</v>
      </c>
      <c r="F125" s="188">
        <v>45833.5</v>
      </c>
      <c r="G125" s="159">
        <v>45390.58</v>
      </c>
    </row>
    <row r="126" spans="1:7" x14ac:dyDescent="0.25">
      <c r="A126" s="78">
        <v>244464</v>
      </c>
      <c r="B126" s="80">
        <v>26520</v>
      </c>
      <c r="C126" s="159">
        <v>26258</v>
      </c>
      <c r="D126" s="161"/>
      <c r="E126" s="78">
        <v>303818</v>
      </c>
      <c r="F126" s="188">
        <v>45390.58</v>
      </c>
      <c r="G126" s="159">
        <v>44948.27</v>
      </c>
    </row>
    <row r="127" spans="1:7" x14ac:dyDescent="0.25">
      <c r="A127" s="78">
        <v>244614</v>
      </c>
      <c r="B127" s="80">
        <v>26258</v>
      </c>
      <c r="C127" s="159">
        <v>25996</v>
      </c>
      <c r="D127" s="161"/>
      <c r="E127" s="78">
        <v>304005</v>
      </c>
      <c r="F127" s="188">
        <v>44948.27</v>
      </c>
      <c r="G127" s="159">
        <v>44506.57</v>
      </c>
    </row>
    <row r="128" spans="1:7" x14ac:dyDescent="0.25">
      <c r="A128" s="78">
        <v>244765</v>
      </c>
      <c r="B128" s="80">
        <v>25996</v>
      </c>
      <c r="C128" s="159">
        <v>25734</v>
      </c>
      <c r="D128" s="161"/>
      <c r="E128" s="78">
        <v>304192</v>
      </c>
      <c r="F128" s="188">
        <v>44506.57</v>
      </c>
      <c r="G128" s="159">
        <v>44065.46</v>
      </c>
    </row>
    <row r="129" spans="1:7" x14ac:dyDescent="0.25">
      <c r="A129" s="78">
        <v>244916</v>
      </c>
      <c r="B129" s="80">
        <v>25734</v>
      </c>
      <c r="C129" s="159">
        <v>25472</v>
      </c>
      <c r="D129" s="161"/>
      <c r="E129" s="78">
        <v>304379</v>
      </c>
      <c r="F129" s="188">
        <v>44065.46</v>
      </c>
      <c r="G129" s="159">
        <v>43624.95</v>
      </c>
    </row>
    <row r="130" spans="1:7" x14ac:dyDescent="0.25">
      <c r="A130" s="78">
        <v>245066</v>
      </c>
      <c r="B130" s="80">
        <v>25472</v>
      </c>
      <c r="C130" s="159">
        <v>25212</v>
      </c>
      <c r="D130" s="161"/>
      <c r="E130" s="78">
        <v>304566</v>
      </c>
      <c r="F130" s="188">
        <v>43624.95</v>
      </c>
      <c r="G130" s="159">
        <v>43185.04</v>
      </c>
    </row>
    <row r="131" spans="1:7" x14ac:dyDescent="0.25">
      <c r="A131" s="78">
        <v>245217</v>
      </c>
      <c r="B131" s="80">
        <v>25212</v>
      </c>
      <c r="C131" s="159">
        <v>24951</v>
      </c>
      <c r="D131" s="161"/>
      <c r="E131" s="78">
        <v>304754</v>
      </c>
      <c r="F131" s="188">
        <v>43185.04</v>
      </c>
      <c r="G131" s="159">
        <v>42745.7</v>
      </c>
    </row>
    <row r="132" spans="1:7" x14ac:dyDescent="0.25">
      <c r="A132" s="78">
        <v>245367</v>
      </c>
      <c r="B132" s="80">
        <v>24951</v>
      </c>
      <c r="C132" s="159">
        <v>24690</v>
      </c>
      <c r="D132" s="161"/>
      <c r="E132" s="78">
        <v>304941</v>
      </c>
      <c r="F132" s="188">
        <v>42745.7</v>
      </c>
      <c r="G132" s="159">
        <v>42306.94</v>
      </c>
    </row>
    <row r="133" spans="1:7" x14ac:dyDescent="0.25">
      <c r="A133" s="78">
        <v>245518</v>
      </c>
      <c r="B133" s="80">
        <v>24690</v>
      </c>
      <c r="C133" s="159">
        <v>24430</v>
      </c>
      <c r="D133" s="161"/>
      <c r="E133" s="78">
        <v>305128</v>
      </c>
      <c r="F133" s="188">
        <v>42306.94</v>
      </c>
      <c r="G133" s="159">
        <v>41868.76</v>
      </c>
    </row>
    <row r="134" spans="1:7" x14ac:dyDescent="0.25">
      <c r="A134" s="78">
        <v>245669</v>
      </c>
      <c r="B134" s="80">
        <v>24430</v>
      </c>
      <c r="C134" s="159">
        <v>24171</v>
      </c>
      <c r="D134" s="161"/>
      <c r="E134" s="78">
        <v>305315</v>
      </c>
      <c r="F134" s="188">
        <v>41868.76</v>
      </c>
      <c r="G134" s="159">
        <v>41431.15</v>
      </c>
    </row>
    <row r="135" spans="1:7" x14ac:dyDescent="0.25">
      <c r="A135" s="78">
        <v>245819</v>
      </c>
      <c r="B135" s="80">
        <v>24171</v>
      </c>
      <c r="C135" s="159">
        <v>23912</v>
      </c>
      <c r="D135" s="161"/>
      <c r="E135" s="78">
        <v>305502</v>
      </c>
      <c r="F135" s="188">
        <v>41431.15</v>
      </c>
      <c r="G135" s="159">
        <v>40994.1</v>
      </c>
    </row>
    <row r="136" spans="1:7" x14ac:dyDescent="0.25">
      <c r="A136" s="78">
        <v>245970</v>
      </c>
      <c r="B136" s="80">
        <v>23912</v>
      </c>
      <c r="C136" s="159">
        <v>23653</v>
      </c>
      <c r="D136" s="161"/>
      <c r="E136" s="78">
        <v>305689</v>
      </c>
      <c r="F136" s="188">
        <v>40994.1</v>
      </c>
      <c r="G136" s="159">
        <v>40557.599999999999</v>
      </c>
    </row>
    <row r="137" spans="1:7" x14ac:dyDescent="0.25">
      <c r="A137" s="78">
        <v>246121</v>
      </c>
      <c r="B137" s="80">
        <v>23653</v>
      </c>
      <c r="C137" s="159">
        <v>23393</v>
      </c>
      <c r="D137" s="161"/>
      <c r="E137" s="78">
        <v>305877</v>
      </c>
      <c r="F137" s="188">
        <v>40557.599999999999</v>
      </c>
      <c r="G137" s="159">
        <v>40121.660000000003</v>
      </c>
    </row>
    <row r="138" spans="1:7" x14ac:dyDescent="0.25">
      <c r="A138" s="78">
        <v>246271</v>
      </c>
      <c r="B138" s="80">
        <v>23393</v>
      </c>
      <c r="C138" s="159">
        <v>23134</v>
      </c>
      <c r="D138" s="161"/>
      <c r="E138" s="78">
        <v>306064</v>
      </c>
      <c r="F138" s="188">
        <v>40121.660000000003</v>
      </c>
      <c r="G138" s="159">
        <v>39686.269999999997</v>
      </c>
    </row>
    <row r="139" spans="1:7" x14ac:dyDescent="0.25">
      <c r="A139" s="78">
        <v>246422</v>
      </c>
      <c r="B139" s="80">
        <v>23134</v>
      </c>
      <c r="C139" s="159">
        <v>22877</v>
      </c>
      <c r="D139" s="161"/>
      <c r="E139" s="78">
        <v>306251</v>
      </c>
      <c r="F139" s="188">
        <v>39686.269999999997</v>
      </c>
      <c r="G139" s="159">
        <v>39251.42</v>
      </c>
    </row>
    <row r="140" spans="1:7" x14ac:dyDescent="0.25">
      <c r="A140" s="78">
        <v>246572</v>
      </c>
      <c r="B140" s="80">
        <v>22877</v>
      </c>
      <c r="C140" s="159">
        <v>22619</v>
      </c>
      <c r="D140" s="161"/>
      <c r="E140" s="78">
        <v>306438</v>
      </c>
      <c r="F140" s="188">
        <v>39251.42</v>
      </c>
      <c r="G140" s="159">
        <v>38817.120000000003</v>
      </c>
    </row>
    <row r="141" spans="1:7" x14ac:dyDescent="0.25">
      <c r="A141" s="78">
        <v>246723</v>
      </c>
      <c r="B141" s="80">
        <v>22619</v>
      </c>
      <c r="C141" s="159">
        <v>22362</v>
      </c>
      <c r="D141" s="161"/>
      <c r="E141" s="78">
        <v>306625</v>
      </c>
      <c r="F141" s="188">
        <v>38817.120000000003</v>
      </c>
      <c r="G141" s="159">
        <v>38383.339999999997</v>
      </c>
    </row>
    <row r="142" spans="1:7" x14ac:dyDescent="0.25">
      <c r="A142" s="78">
        <v>246874</v>
      </c>
      <c r="B142" s="80">
        <v>22362</v>
      </c>
      <c r="C142" s="159">
        <v>22104</v>
      </c>
      <c r="D142" s="161"/>
      <c r="E142" s="78">
        <v>306813</v>
      </c>
      <c r="F142" s="188">
        <v>38383.339999999997</v>
      </c>
      <c r="G142" s="159">
        <v>37950.1</v>
      </c>
    </row>
    <row r="143" spans="1:7" x14ac:dyDescent="0.25">
      <c r="A143" s="78">
        <v>247024</v>
      </c>
      <c r="B143" s="80">
        <v>22104</v>
      </c>
      <c r="C143" s="159">
        <v>21848</v>
      </c>
      <c r="D143" s="161"/>
      <c r="E143" s="78">
        <v>307000</v>
      </c>
      <c r="F143" s="188">
        <v>37950.1</v>
      </c>
      <c r="G143" s="159">
        <v>37517.379999999997</v>
      </c>
    </row>
    <row r="144" spans="1:7" x14ac:dyDescent="0.25">
      <c r="A144" s="78">
        <v>247175</v>
      </c>
      <c r="B144" s="80">
        <v>21848</v>
      </c>
      <c r="C144" s="159">
        <v>21591</v>
      </c>
      <c r="D144" s="161"/>
      <c r="E144" s="78">
        <v>307187</v>
      </c>
      <c r="F144" s="188">
        <v>37517.379999999997</v>
      </c>
      <c r="G144" s="159">
        <v>37085.19</v>
      </c>
    </row>
    <row r="145" spans="1:7" x14ac:dyDescent="0.25">
      <c r="A145" s="78">
        <v>247326</v>
      </c>
      <c r="B145" s="80">
        <v>21591</v>
      </c>
      <c r="C145" s="159">
        <v>21334</v>
      </c>
      <c r="D145" s="161"/>
      <c r="E145" s="78">
        <v>307374</v>
      </c>
      <c r="F145" s="188">
        <v>37085.19</v>
      </c>
      <c r="G145" s="159">
        <v>36653.51</v>
      </c>
    </row>
    <row r="146" spans="1:7" x14ac:dyDescent="0.25">
      <c r="A146" s="78">
        <v>247476</v>
      </c>
      <c r="B146" s="80">
        <v>21334</v>
      </c>
      <c r="C146" s="159">
        <v>21078</v>
      </c>
      <c r="D146" s="161"/>
      <c r="E146" s="78">
        <v>307561</v>
      </c>
      <c r="F146" s="188">
        <v>36653.51</v>
      </c>
      <c r="G146" s="159">
        <v>36222.339999999997</v>
      </c>
    </row>
    <row r="147" spans="1:7" x14ac:dyDescent="0.25">
      <c r="A147" s="78">
        <v>247627</v>
      </c>
      <c r="B147" s="80">
        <v>21078</v>
      </c>
      <c r="C147" s="159">
        <v>20822</v>
      </c>
      <c r="D147" s="161"/>
      <c r="E147" s="78">
        <v>307749</v>
      </c>
      <c r="F147" s="188">
        <v>36222.339999999997</v>
      </c>
      <c r="G147" s="159">
        <v>35791.68</v>
      </c>
    </row>
    <row r="148" spans="1:7" x14ac:dyDescent="0.25">
      <c r="A148" s="78">
        <v>247777</v>
      </c>
      <c r="B148" s="80">
        <v>20822</v>
      </c>
      <c r="C148" s="159">
        <v>20568</v>
      </c>
      <c r="D148" s="161"/>
      <c r="E148" s="78">
        <v>307936</v>
      </c>
      <c r="F148" s="188">
        <v>35791.68</v>
      </c>
      <c r="G148" s="159">
        <v>35361.53</v>
      </c>
    </row>
    <row r="149" spans="1:7" x14ac:dyDescent="0.25">
      <c r="A149" s="78">
        <v>247928</v>
      </c>
      <c r="B149" s="80">
        <v>20568</v>
      </c>
      <c r="C149" s="159">
        <v>20313</v>
      </c>
      <c r="D149" s="161"/>
      <c r="E149" s="78">
        <v>308123</v>
      </c>
      <c r="F149" s="188">
        <v>35361.53</v>
      </c>
      <c r="G149" s="159">
        <v>34931.879999999997</v>
      </c>
    </row>
    <row r="150" spans="1:7" x14ac:dyDescent="0.25">
      <c r="A150" s="78">
        <v>248079</v>
      </c>
      <c r="B150" s="80">
        <v>20313</v>
      </c>
      <c r="C150" s="159">
        <v>20059</v>
      </c>
      <c r="D150" s="161"/>
      <c r="E150" s="78">
        <v>308310</v>
      </c>
      <c r="F150" s="188">
        <v>34931.879999999997</v>
      </c>
      <c r="G150" s="159">
        <v>34502.720000000001</v>
      </c>
    </row>
    <row r="151" spans="1:7" x14ac:dyDescent="0.25">
      <c r="A151" s="78">
        <v>248229</v>
      </c>
      <c r="B151" s="80">
        <v>20059</v>
      </c>
      <c r="C151" s="159">
        <v>19804</v>
      </c>
      <c r="D151" s="161"/>
      <c r="E151" s="78">
        <v>308497</v>
      </c>
      <c r="F151" s="188">
        <v>34502.720000000001</v>
      </c>
      <c r="G151" s="159">
        <v>34074.06</v>
      </c>
    </row>
    <row r="152" spans="1:7" x14ac:dyDescent="0.25">
      <c r="A152" s="78">
        <v>248380</v>
      </c>
      <c r="B152" s="80">
        <v>19804</v>
      </c>
      <c r="C152" s="159">
        <v>19550</v>
      </c>
      <c r="D152" s="161"/>
      <c r="E152" s="78">
        <v>308685</v>
      </c>
      <c r="F152" s="188">
        <v>34074.06</v>
      </c>
      <c r="G152" s="159">
        <v>33645.89</v>
      </c>
    </row>
    <row r="153" spans="1:7" x14ac:dyDescent="0.25">
      <c r="A153" s="78">
        <v>248531</v>
      </c>
      <c r="B153" s="80">
        <v>19550</v>
      </c>
      <c r="C153" s="159">
        <v>19295</v>
      </c>
      <c r="D153" s="161"/>
      <c r="E153" s="78">
        <v>308872</v>
      </c>
      <c r="F153" s="188">
        <v>33645.89</v>
      </c>
      <c r="G153" s="159">
        <v>33218.199999999997</v>
      </c>
    </row>
    <row r="154" spans="1:7" x14ac:dyDescent="0.25">
      <c r="A154" s="78">
        <v>248681</v>
      </c>
      <c r="B154" s="80">
        <v>19295</v>
      </c>
      <c r="C154" s="159">
        <v>19042</v>
      </c>
      <c r="D154" s="161"/>
      <c r="E154" s="78">
        <v>309059</v>
      </c>
      <c r="F154" s="188">
        <v>33218.199999999997</v>
      </c>
      <c r="G154" s="159">
        <v>32790.99</v>
      </c>
    </row>
    <row r="155" spans="1:7" x14ac:dyDescent="0.25">
      <c r="A155" s="78">
        <v>248832</v>
      </c>
      <c r="B155" s="80">
        <v>19042</v>
      </c>
      <c r="C155" s="159">
        <v>18789</v>
      </c>
      <c r="D155" s="161"/>
      <c r="E155" s="78">
        <v>309246</v>
      </c>
      <c r="F155" s="188">
        <v>32790.99</v>
      </c>
      <c r="G155" s="159">
        <v>32364.26</v>
      </c>
    </row>
    <row r="156" spans="1:7" x14ac:dyDescent="0.25">
      <c r="A156" s="78">
        <v>248982</v>
      </c>
      <c r="B156" s="80">
        <v>18789</v>
      </c>
      <c r="C156" s="159">
        <v>18536</v>
      </c>
      <c r="D156" s="161"/>
      <c r="E156" s="78">
        <v>309433</v>
      </c>
      <c r="F156" s="188">
        <v>32364.26</v>
      </c>
      <c r="G156" s="159">
        <v>31938</v>
      </c>
    </row>
    <row r="157" spans="1:7" x14ac:dyDescent="0.25">
      <c r="A157" s="78">
        <v>249133</v>
      </c>
      <c r="B157" s="80">
        <v>18536</v>
      </c>
      <c r="C157" s="159">
        <v>18283</v>
      </c>
      <c r="D157" s="161"/>
      <c r="E157" s="78">
        <v>309621</v>
      </c>
      <c r="F157" s="188">
        <v>31938</v>
      </c>
      <c r="G157" s="159">
        <v>31512.22</v>
      </c>
    </row>
    <row r="158" spans="1:7" x14ac:dyDescent="0.25">
      <c r="A158" s="78">
        <v>249284</v>
      </c>
      <c r="B158" s="80">
        <v>18283</v>
      </c>
      <c r="C158" s="159">
        <v>18030</v>
      </c>
      <c r="D158" s="161"/>
      <c r="E158" s="78">
        <v>309808</v>
      </c>
      <c r="F158" s="188">
        <v>31512.22</v>
      </c>
      <c r="G158" s="159">
        <v>31086.9</v>
      </c>
    </row>
    <row r="159" spans="1:7" x14ac:dyDescent="0.25">
      <c r="A159" s="78">
        <v>249434</v>
      </c>
      <c r="B159" s="80">
        <v>18030</v>
      </c>
      <c r="C159" s="159">
        <v>17778</v>
      </c>
      <c r="D159" s="161"/>
      <c r="E159" s="78">
        <v>309995</v>
      </c>
      <c r="F159" s="188">
        <v>31086.9</v>
      </c>
      <c r="G159" s="159">
        <v>30662.04</v>
      </c>
    </row>
    <row r="160" spans="1:7" x14ac:dyDescent="0.25">
      <c r="A160" s="78">
        <v>249585</v>
      </c>
      <c r="B160" s="80">
        <v>17778</v>
      </c>
      <c r="C160" s="159">
        <v>17527</v>
      </c>
      <c r="D160" s="161"/>
      <c r="E160" s="78">
        <v>310182</v>
      </c>
      <c r="F160" s="188">
        <v>30662.04</v>
      </c>
      <c r="G160" s="159">
        <v>30237.64</v>
      </c>
    </row>
    <row r="161" spans="1:7" x14ac:dyDescent="0.25">
      <c r="A161" s="78">
        <v>249736</v>
      </c>
      <c r="B161" s="80">
        <v>17527</v>
      </c>
      <c r="C161" s="159">
        <v>17275</v>
      </c>
      <c r="D161" s="161"/>
      <c r="E161" s="78">
        <v>310369</v>
      </c>
      <c r="F161" s="188">
        <v>30237.64</v>
      </c>
      <c r="G161" s="159">
        <v>29813.7</v>
      </c>
    </row>
    <row r="162" spans="1:7" x14ac:dyDescent="0.25">
      <c r="A162" s="78">
        <v>249886</v>
      </c>
      <c r="B162" s="80">
        <v>17275</v>
      </c>
      <c r="C162" s="159">
        <v>17024</v>
      </c>
      <c r="D162" s="161"/>
      <c r="E162" s="78">
        <v>310557</v>
      </c>
      <c r="F162" s="188">
        <v>29813.7</v>
      </c>
      <c r="G162" s="159">
        <v>29390.22</v>
      </c>
    </row>
    <row r="163" spans="1:7" x14ac:dyDescent="0.25">
      <c r="A163" s="78">
        <v>250037</v>
      </c>
      <c r="B163" s="80">
        <v>17024</v>
      </c>
      <c r="C163" s="159">
        <v>16772</v>
      </c>
      <c r="D163" s="161"/>
      <c r="E163" s="78">
        <v>310744</v>
      </c>
      <c r="F163" s="188">
        <v>29390.22</v>
      </c>
      <c r="G163" s="159">
        <v>28967.18</v>
      </c>
    </row>
    <row r="164" spans="1:7" x14ac:dyDescent="0.25">
      <c r="A164" s="78">
        <v>250187</v>
      </c>
      <c r="B164" s="80">
        <v>16772</v>
      </c>
      <c r="C164" s="159">
        <v>16522</v>
      </c>
      <c r="D164" s="161"/>
      <c r="E164" s="78">
        <v>310931</v>
      </c>
      <c r="F164" s="188">
        <v>28967.18</v>
      </c>
      <c r="G164" s="159">
        <v>28544.59</v>
      </c>
    </row>
    <row r="165" spans="1:7" x14ac:dyDescent="0.25">
      <c r="A165" s="78">
        <v>250338</v>
      </c>
      <c r="B165" s="80">
        <v>16522</v>
      </c>
      <c r="C165" s="159">
        <v>16270</v>
      </c>
      <c r="D165" s="161"/>
      <c r="E165" s="78">
        <v>311118</v>
      </c>
      <c r="F165" s="188">
        <v>28544.59</v>
      </c>
      <c r="G165" s="159">
        <v>28122.44</v>
      </c>
    </row>
    <row r="166" spans="1:7" x14ac:dyDescent="0.25">
      <c r="A166" s="78">
        <v>250489</v>
      </c>
      <c r="B166" s="80">
        <v>16270</v>
      </c>
      <c r="C166" s="159">
        <v>16020</v>
      </c>
      <c r="D166" s="161"/>
      <c r="E166" s="78">
        <v>311305</v>
      </c>
      <c r="F166" s="188">
        <v>28122.44</v>
      </c>
      <c r="G166" s="159">
        <v>27700.73</v>
      </c>
    </row>
    <row r="167" spans="1:7" x14ac:dyDescent="0.25">
      <c r="A167" s="78">
        <v>250639</v>
      </c>
      <c r="B167" s="80">
        <v>16020</v>
      </c>
      <c r="C167" s="159">
        <v>15770</v>
      </c>
      <c r="D167" s="161"/>
      <c r="E167" s="78">
        <v>311493</v>
      </c>
      <c r="F167" s="188">
        <v>27700.73</v>
      </c>
      <c r="G167" s="159">
        <v>27279.46</v>
      </c>
    </row>
    <row r="168" spans="1:7" x14ac:dyDescent="0.25">
      <c r="A168" s="78">
        <v>250790</v>
      </c>
      <c r="B168" s="80">
        <v>15770</v>
      </c>
      <c r="C168" s="159">
        <v>15520</v>
      </c>
      <c r="D168" s="161"/>
      <c r="E168" s="78">
        <v>311680</v>
      </c>
      <c r="F168" s="188">
        <v>27279.46</v>
      </c>
      <c r="G168" s="159">
        <v>26858.63</v>
      </c>
    </row>
    <row r="169" spans="1:7" x14ac:dyDescent="0.25">
      <c r="A169" s="78">
        <v>250941</v>
      </c>
      <c r="B169" s="80">
        <v>15520</v>
      </c>
      <c r="C169" s="159">
        <v>15272</v>
      </c>
      <c r="D169" s="161"/>
      <c r="E169" s="78">
        <v>311867</v>
      </c>
      <c r="F169" s="188">
        <v>26858.63</v>
      </c>
      <c r="G169" s="159">
        <v>26438.22</v>
      </c>
    </row>
    <row r="170" spans="1:7" x14ac:dyDescent="0.25">
      <c r="A170" s="78">
        <v>251091</v>
      </c>
      <c r="B170" s="80">
        <v>15272</v>
      </c>
      <c r="C170" s="159">
        <v>15022</v>
      </c>
      <c r="D170" s="161"/>
      <c r="E170" s="78">
        <v>312054</v>
      </c>
      <c r="F170" s="188">
        <v>26438.22</v>
      </c>
      <c r="G170" s="159">
        <v>26018.240000000002</v>
      </c>
    </row>
    <row r="171" spans="1:7" x14ac:dyDescent="0.25">
      <c r="A171" s="78">
        <v>251242</v>
      </c>
      <c r="B171" s="80">
        <v>15022</v>
      </c>
      <c r="C171" s="159">
        <v>14773</v>
      </c>
      <c r="D171" s="161"/>
      <c r="E171" s="78">
        <v>312241</v>
      </c>
      <c r="F171" s="188">
        <v>26018.240000000002</v>
      </c>
      <c r="G171" s="159">
        <v>25598.69</v>
      </c>
    </row>
    <row r="172" spans="1:7" x14ac:dyDescent="0.25">
      <c r="A172" s="78">
        <v>251392</v>
      </c>
      <c r="B172" s="80">
        <v>14773</v>
      </c>
      <c r="C172" s="159">
        <v>14525</v>
      </c>
      <c r="D172" s="161"/>
      <c r="E172" s="78">
        <v>312429</v>
      </c>
      <c r="F172" s="188">
        <v>25598.69</v>
      </c>
      <c r="G172" s="159">
        <v>25179.55</v>
      </c>
    </row>
    <row r="173" spans="1:7" x14ac:dyDescent="0.25">
      <c r="A173" s="78">
        <v>251543</v>
      </c>
      <c r="B173" s="80">
        <v>14525</v>
      </c>
      <c r="C173" s="159">
        <v>14276</v>
      </c>
      <c r="D173" s="161"/>
      <c r="E173" s="78">
        <v>312616</v>
      </c>
      <c r="F173" s="188">
        <v>25179.55</v>
      </c>
      <c r="G173" s="159">
        <v>24760.84</v>
      </c>
    </row>
    <row r="174" spans="1:7" x14ac:dyDescent="0.25">
      <c r="A174" s="78">
        <v>251694</v>
      </c>
      <c r="B174" s="80">
        <v>14276</v>
      </c>
      <c r="C174" s="159">
        <v>14028</v>
      </c>
      <c r="D174" s="161"/>
      <c r="E174" s="78">
        <v>312803</v>
      </c>
      <c r="F174" s="188">
        <v>24760.84</v>
      </c>
      <c r="G174" s="159">
        <v>24342.55</v>
      </c>
    </row>
    <row r="175" spans="1:7" x14ac:dyDescent="0.25">
      <c r="A175" s="78">
        <v>251844</v>
      </c>
      <c r="B175" s="80">
        <v>14028</v>
      </c>
      <c r="C175" s="159">
        <v>13779</v>
      </c>
      <c r="D175" s="161"/>
      <c r="E175" s="78">
        <v>312990</v>
      </c>
      <c r="F175" s="188">
        <v>24342.55</v>
      </c>
      <c r="G175" s="159">
        <v>23924.66</v>
      </c>
    </row>
    <row r="176" spans="1:7" x14ac:dyDescent="0.25">
      <c r="A176" s="78">
        <v>251995</v>
      </c>
      <c r="B176" s="80">
        <v>13779</v>
      </c>
      <c r="C176" s="159">
        <v>13531</v>
      </c>
      <c r="D176" s="161"/>
      <c r="E176" s="78">
        <v>313177</v>
      </c>
      <c r="F176" s="188">
        <v>23924.66</v>
      </c>
      <c r="G176" s="159">
        <v>23507.19</v>
      </c>
    </row>
    <row r="177" spans="1:7" x14ac:dyDescent="0.25">
      <c r="A177" s="78">
        <v>252145</v>
      </c>
      <c r="B177" s="80">
        <v>13531</v>
      </c>
      <c r="C177" s="159">
        <v>13284</v>
      </c>
      <c r="D177" s="161"/>
      <c r="E177" s="78">
        <v>313364</v>
      </c>
      <c r="F177" s="188">
        <v>23507.19</v>
      </c>
      <c r="G177" s="159">
        <v>23090.12</v>
      </c>
    </row>
    <row r="178" spans="1:7" x14ac:dyDescent="0.25">
      <c r="A178" s="78">
        <v>252296</v>
      </c>
      <c r="B178" s="80">
        <v>13284</v>
      </c>
      <c r="C178" s="159">
        <v>13037</v>
      </c>
      <c r="D178" s="161"/>
      <c r="E178" s="78">
        <v>313552</v>
      </c>
      <c r="F178" s="188">
        <v>23090.12</v>
      </c>
      <c r="G178" s="159">
        <v>22673.46</v>
      </c>
    </row>
    <row r="179" spans="1:7" x14ac:dyDescent="0.25">
      <c r="A179" s="78">
        <v>252447</v>
      </c>
      <c r="B179" s="80">
        <v>13037</v>
      </c>
      <c r="C179" s="159">
        <v>12790</v>
      </c>
      <c r="D179" s="161"/>
      <c r="E179" s="78">
        <v>313739</v>
      </c>
      <c r="F179" s="188">
        <v>22673.46</v>
      </c>
      <c r="G179" s="159">
        <v>22257.200000000001</v>
      </c>
    </row>
    <row r="180" spans="1:7" x14ac:dyDescent="0.25">
      <c r="A180" s="78">
        <v>252597</v>
      </c>
      <c r="B180" s="80">
        <v>12790</v>
      </c>
      <c r="C180" s="159">
        <v>12543</v>
      </c>
      <c r="D180" s="161"/>
      <c r="E180" s="78">
        <v>313926</v>
      </c>
      <c r="F180" s="188">
        <v>22257.200000000001</v>
      </c>
      <c r="G180" s="159">
        <v>21841.34</v>
      </c>
    </row>
    <row r="181" spans="1:7" x14ac:dyDescent="0.25">
      <c r="A181" s="78">
        <v>252748</v>
      </c>
      <c r="B181" s="80">
        <v>12543</v>
      </c>
      <c r="C181" s="159">
        <v>12295</v>
      </c>
      <c r="D181" s="161"/>
      <c r="E181" s="78">
        <v>314113</v>
      </c>
      <c r="F181" s="188">
        <v>21841.34</v>
      </c>
      <c r="G181" s="159">
        <v>21425.88</v>
      </c>
    </row>
    <row r="182" spans="1:7" x14ac:dyDescent="0.25">
      <c r="A182" s="78">
        <v>252899</v>
      </c>
      <c r="B182" s="80">
        <v>12295</v>
      </c>
      <c r="C182" s="159">
        <v>12050</v>
      </c>
      <c r="D182" s="161"/>
      <c r="E182" s="78">
        <v>314300</v>
      </c>
      <c r="F182" s="188">
        <v>21425.88</v>
      </c>
      <c r="G182" s="159">
        <v>21010.82</v>
      </c>
    </row>
    <row r="183" spans="1:7" x14ac:dyDescent="0.25">
      <c r="A183" s="78">
        <v>253049</v>
      </c>
      <c r="B183" s="80">
        <v>12050</v>
      </c>
      <c r="C183" s="159">
        <v>11803</v>
      </c>
      <c r="D183" s="161"/>
      <c r="E183" s="78">
        <v>314488</v>
      </c>
      <c r="F183" s="188">
        <v>21010.82</v>
      </c>
      <c r="G183" s="159">
        <v>20596.14</v>
      </c>
    </row>
    <row r="184" spans="1:7" x14ac:dyDescent="0.25">
      <c r="A184" s="78">
        <v>253200</v>
      </c>
      <c r="B184" s="80">
        <v>11803</v>
      </c>
      <c r="C184" s="159">
        <v>11557</v>
      </c>
      <c r="D184" s="161"/>
      <c r="E184" s="78">
        <v>314675</v>
      </c>
      <c r="F184" s="188">
        <v>20596.14</v>
      </c>
      <c r="G184" s="159">
        <v>20181.849999999999</v>
      </c>
    </row>
    <row r="185" spans="1:7" x14ac:dyDescent="0.25">
      <c r="A185" s="78">
        <v>253350</v>
      </c>
      <c r="B185" s="80">
        <v>11557</v>
      </c>
      <c r="C185" s="159">
        <v>11312</v>
      </c>
      <c r="D185" s="161"/>
      <c r="E185" s="78">
        <v>314862</v>
      </c>
      <c r="F185" s="188">
        <v>20181.849999999999</v>
      </c>
      <c r="G185" s="159">
        <v>19767.95</v>
      </c>
    </row>
    <row r="186" spans="1:7" x14ac:dyDescent="0.25">
      <c r="A186" s="78">
        <v>253501</v>
      </c>
      <c r="B186" s="80">
        <v>11312</v>
      </c>
      <c r="C186" s="159">
        <v>11066</v>
      </c>
      <c r="D186" s="161"/>
      <c r="E186" s="78">
        <v>315049</v>
      </c>
      <c r="F186" s="188">
        <v>19767.95</v>
      </c>
      <c r="G186" s="159">
        <v>19354.439999999999</v>
      </c>
    </row>
    <row r="187" spans="1:7" x14ac:dyDescent="0.25">
      <c r="A187" s="78">
        <v>253652</v>
      </c>
      <c r="B187" s="80">
        <v>11066</v>
      </c>
      <c r="C187" s="159">
        <v>10821</v>
      </c>
      <c r="D187" s="161"/>
      <c r="E187" s="78">
        <v>315236</v>
      </c>
      <c r="F187" s="188">
        <v>19354.439999999999</v>
      </c>
      <c r="G187" s="159">
        <v>18941.310000000001</v>
      </c>
    </row>
    <row r="188" spans="1:7" x14ac:dyDescent="0.25">
      <c r="A188" s="78">
        <v>253802</v>
      </c>
      <c r="B188" s="80">
        <v>10821</v>
      </c>
      <c r="C188" s="159">
        <v>10577</v>
      </c>
      <c r="D188" s="161"/>
      <c r="E188" s="78">
        <v>315424</v>
      </c>
      <c r="F188" s="188">
        <v>18941.310000000001</v>
      </c>
      <c r="G188" s="159">
        <v>18528.55</v>
      </c>
    </row>
    <row r="189" spans="1:7" x14ac:dyDescent="0.25">
      <c r="A189" s="78">
        <v>253953</v>
      </c>
      <c r="B189" s="80">
        <v>10577</v>
      </c>
      <c r="C189" s="159">
        <v>10331</v>
      </c>
      <c r="D189" s="161"/>
      <c r="E189" s="78">
        <v>315611</v>
      </c>
      <c r="F189" s="188">
        <v>18528.55</v>
      </c>
      <c r="G189" s="159">
        <v>18116.169999999998</v>
      </c>
    </row>
    <row r="190" spans="1:7" x14ac:dyDescent="0.25">
      <c r="A190" s="78">
        <v>254104</v>
      </c>
      <c r="B190" s="80">
        <v>10331</v>
      </c>
      <c r="C190" s="159">
        <v>10087</v>
      </c>
      <c r="D190" s="161"/>
      <c r="E190" s="78">
        <v>315798</v>
      </c>
      <c r="F190" s="188">
        <v>18116.169999999998</v>
      </c>
      <c r="G190" s="159">
        <v>17704.169999999998</v>
      </c>
    </row>
    <row r="191" spans="1:7" x14ac:dyDescent="0.25">
      <c r="A191" s="78">
        <v>254254</v>
      </c>
      <c r="B191" s="80">
        <v>10087</v>
      </c>
      <c r="C191" s="159">
        <v>9842</v>
      </c>
      <c r="D191" s="161"/>
      <c r="E191" s="78">
        <v>315985</v>
      </c>
      <c r="F191" s="188">
        <v>17704.169999999998</v>
      </c>
      <c r="G191" s="159">
        <v>17292.54</v>
      </c>
    </row>
    <row r="192" spans="1:7" x14ac:dyDescent="0.25">
      <c r="A192" s="78">
        <v>254405</v>
      </c>
      <c r="B192" s="80">
        <v>9842</v>
      </c>
      <c r="C192" s="159">
        <v>9598</v>
      </c>
      <c r="D192" s="161"/>
      <c r="E192" s="78">
        <v>316172</v>
      </c>
      <c r="F192" s="188">
        <v>17292.54</v>
      </c>
      <c r="G192" s="159">
        <v>16881.28</v>
      </c>
    </row>
    <row r="193" spans="1:7" x14ac:dyDescent="0.25">
      <c r="A193" s="78">
        <v>254555</v>
      </c>
      <c r="B193" s="80">
        <v>9598</v>
      </c>
      <c r="C193" s="159">
        <v>9354</v>
      </c>
      <c r="D193" s="161"/>
      <c r="E193" s="78">
        <v>316360</v>
      </c>
      <c r="F193" s="188">
        <v>16881.28</v>
      </c>
      <c r="G193" s="159">
        <v>16470.39</v>
      </c>
    </row>
    <row r="194" spans="1:7" x14ac:dyDescent="0.25">
      <c r="A194" s="78">
        <v>254706</v>
      </c>
      <c r="B194" s="80">
        <v>9354</v>
      </c>
      <c r="C194" s="159">
        <v>9111</v>
      </c>
      <c r="D194" s="161"/>
      <c r="E194" s="78">
        <v>316547</v>
      </c>
      <c r="F194" s="188">
        <v>16470.39</v>
      </c>
      <c r="G194" s="159">
        <v>16059.86</v>
      </c>
    </row>
    <row r="195" spans="1:7" x14ac:dyDescent="0.25">
      <c r="A195" s="78">
        <v>254857</v>
      </c>
      <c r="B195" s="80">
        <v>9111</v>
      </c>
      <c r="C195" s="159">
        <v>8867</v>
      </c>
      <c r="D195" s="161"/>
      <c r="E195" s="78">
        <v>316734</v>
      </c>
      <c r="F195" s="188">
        <v>16059.86</v>
      </c>
      <c r="G195" s="159">
        <v>15649.7</v>
      </c>
    </row>
    <row r="196" spans="1:7" x14ac:dyDescent="0.25">
      <c r="A196" s="78">
        <v>255007</v>
      </c>
      <c r="B196" s="80">
        <v>8867</v>
      </c>
      <c r="C196" s="159">
        <v>8625</v>
      </c>
      <c r="D196" s="161"/>
      <c r="E196" s="78">
        <v>316921</v>
      </c>
      <c r="F196" s="188">
        <v>15649.7</v>
      </c>
      <c r="G196" s="159">
        <v>15239.9</v>
      </c>
    </row>
    <row r="197" spans="1:7" x14ac:dyDescent="0.25">
      <c r="A197" s="78">
        <v>255158</v>
      </c>
      <c r="B197" s="80">
        <v>8625</v>
      </c>
      <c r="C197" s="159">
        <v>8381</v>
      </c>
      <c r="D197" s="161"/>
      <c r="E197" s="78">
        <v>317108</v>
      </c>
      <c r="F197" s="188">
        <v>15239.9</v>
      </c>
      <c r="G197" s="159">
        <v>14830.46</v>
      </c>
    </row>
    <row r="198" spans="1:7" x14ac:dyDescent="0.25">
      <c r="A198" s="78">
        <v>255309</v>
      </c>
      <c r="B198" s="80">
        <v>8381</v>
      </c>
      <c r="C198" s="159">
        <v>8138</v>
      </c>
      <c r="D198" s="161"/>
      <c r="E198" s="78">
        <v>317296</v>
      </c>
      <c r="F198" s="188">
        <v>14830.46</v>
      </c>
      <c r="G198" s="159">
        <v>14421.37</v>
      </c>
    </row>
    <row r="199" spans="1:7" x14ac:dyDescent="0.25">
      <c r="A199" s="78">
        <v>255459</v>
      </c>
      <c r="B199" s="80">
        <v>8138</v>
      </c>
      <c r="C199" s="159">
        <v>7896</v>
      </c>
      <c r="D199" s="161"/>
      <c r="E199" s="78">
        <v>317483</v>
      </c>
      <c r="F199" s="188">
        <v>14421.37</v>
      </c>
      <c r="G199" s="159">
        <v>14012.64</v>
      </c>
    </row>
    <row r="200" spans="1:7" x14ac:dyDescent="0.25">
      <c r="A200" s="78">
        <v>255610</v>
      </c>
      <c r="B200" s="80">
        <v>7896</v>
      </c>
      <c r="C200" s="159">
        <v>7653</v>
      </c>
      <c r="D200" s="161"/>
      <c r="E200" s="78">
        <v>317670</v>
      </c>
      <c r="F200" s="188">
        <v>14012.64</v>
      </c>
      <c r="G200" s="159">
        <v>13604.26</v>
      </c>
    </row>
    <row r="201" spans="1:7" x14ac:dyDescent="0.25">
      <c r="A201" s="78">
        <v>255760</v>
      </c>
      <c r="B201" s="80">
        <v>7653</v>
      </c>
      <c r="C201" s="159">
        <v>7411</v>
      </c>
      <c r="D201" s="161"/>
      <c r="E201" s="78">
        <v>317857</v>
      </c>
      <c r="F201" s="188">
        <v>13604.26</v>
      </c>
      <c r="G201" s="159">
        <v>13196.23</v>
      </c>
    </row>
    <row r="202" spans="1:7" x14ac:dyDescent="0.25">
      <c r="A202" s="78">
        <v>255911</v>
      </c>
      <c r="B202" s="80">
        <v>7411</v>
      </c>
      <c r="C202" s="159">
        <v>7170</v>
      </c>
      <c r="D202" s="161"/>
      <c r="E202" s="78">
        <v>318044</v>
      </c>
      <c r="F202" s="188">
        <v>13196.23</v>
      </c>
      <c r="G202" s="159">
        <v>12788.55</v>
      </c>
    </row>
    <row r="203" spans="1:7" x14ac:dyDescent="0.25">
      <c r="A203" s="78">
        <v>256062</v>
      </c>
      <c r="B203" s="80">
        <v>7170</v>
      </c>
      <c r="C203" s="159">
        <v>6927</v>
      </c>
      <c r="D203" s="161"/>
      <c r="E203" s="78">
        <v>318232</v>
      </c>
      <c r="F203" s="188">
        <v>12788.55</v>
      </c>
      <c r="G203" s="159">
        <v>12381.22</v>
      </c>
    </row>
    <row r="204" spans="1:7" x14ac:dyDescent="0.25">
      <c r="A204" s="78">
        <v>256212</v>
      </c>
      <c r="B204" s="80">
        <v>6927</v>
      </c>
      <c r="C204" s="159">
        <v>6686</v>
      </c>
      <c r="D204" s="161"/>
      <c r="E204" s="78">
        <v>318419</v>
      </c>
      <c r="F204" s="188">
        <v>12381.22</v>
      </c>
      <c r="G204" s="159">
        <v>11974.23</v>
      </c>
    </row>
    <row r="205" spans="1:7" x14ac:dyDescent="0.25">
      <c r="A205" s="78">
        <v>256363</v>
      </c>
      <c r="B205" s="80">
        <v>6686</v>
      </c>
      <c r="C205" s="159">
        <v>6444</v>
      </c>
      <c r="D205" s="161"/>
      <c r="E205" s="78">
        <v>318606</v>
      </c>
      <c r="F205" s="188">
        <v>11974.23</v>
      </c>
      <c r="G205" s="159">
        <v>11567.58</v>
      </c>
    </row>
    <row r="206" spans="1:7" x14ac:dyDescent="0.25">
      <c r="A206" s="78">
        <v>256514</v>
      </c>
      <c r="B206" s="80">
        <v>6444</v>
      </c>
      <c r="C206" s="159">
        <v>6203</v>
      </c>
      <c r="D206" s="161"/>
      <c r="E206" s="78">
        <v>318793</v>
      </c>
      <c r="F206" s="188">
        <v>11567.58</v>
      </c>
      <c r="G206" s="159">
        <v>11161.28</v>
      </c>
    </row>
    <row r="207" spans="1:7" x14ac:dyDescent="0.25">
      <c r="A207" s="78">
        <v>256664</v>
      </c>
      <c r="B207" s="80">
        <v>6203</v>
      </c>
      <c r="C207" s="159">
        <v>5962</v>
      </c>
      <c r="D207" s="161"/>
      <c r="E207" s="78">
        <v>318980</v>
      </c>
      <c r="F207" s="188">
        <v>11161.28</v>
      </c>
      <c r="G207" s="159">
        <v>10755.31</v>
      </c>
    </row>
    <row r="208" spans="1:7" x14ac:dyDescent="0.25">
      <c r="A208" s="78">
        <v>256815</v>
      </c>
      <c r="B208" s="80">
        <v>5962</v>
      </c>
      <c r="C208" s="159">
        <v>5721</v>
      </c>
      <c r="D208" s="161"/>
      <c r="E208" s="78">
        <v>319168</v>
      </c>
      <c r="F208" s="188">
        <v>10755.31</v>
      </c>
      <c r="G208" s="159">
        <v>10350</v>
      </c>
    </row>
    <row r="209" spans="1:7" x14ac:dyDescent="0.25">
      <c r="A209" s="78">
        <v>256965</v>
      </c>
      <c r="B209" s="80">
        <v>5721</v>
      </c>
      <c r="C209" s="159">
        <v>5481</v>
      </c>
      <c r="D209" s="161"/>
      <c r="E209" s="78">
        <v>319355</v>
      </c>
      <c r="F209" s="188">
        <v>10350</v>
      </c>
      <c r="G209" s="159">
        <v>9944</v>
      </c>
    </row>
    <row r="210" spans="1:7" x14ac:dyDescent="0.25">
      <c r="A210" s="78">
        <v>257116</v>
      </c>
      <c r="B210" s="80">
        <v>5481</v>
      </c>
      <c r="C210" s="159">
        <v>5240</v>
      </c>
      <c r="D210" s="161"/>
      <c r="E210" s="78">
        <v>319542</v>
      </c>
      <c r="F210" s="188">
        <v>9944</v>
      </c>
      <c r="G210" s="159">
        <v>9539</v>
      </c>
    </row>
    <row r="211" spans="1:7" x14ac:dyDescent="0.25">
      <c r="A211" s="78">
        <v>257267</v>
      </c>
      <c r="B211" s="80">
        <v>5240</v>
      </c>
      <c r="C211" s="159">
        <v>5001</v>
      </c>
      <c r="D211" s="161"/>
      <c r="E211" s="78">
        <v>319729</v>
      </c>
      <c r="F211" s="188">
        <v>9539</v>
      </c>
      <c r="G211" s="159">
        <v>9135</v>
      </c>
    </row>
    <row r="212" spans="1:7" x14ac:dyDescent="0.25">
      <c r="A212" s="78">
        <v>257417</v>
      </c>
      <c r="B212" s="80">
        <v>5001</v>
      </c>
      <c r="C212" s="159">
        <v>4760</v>
      </c>
      <c r="D212" s="161"/>
      <c r="E212" s="78">
        <v>319916</v>
      </c>
      <c r="F212" s="188">
        <v>9135</v>
      </c>
      <c r="G212" s="159">
        <v>8730</v>
      </c>
    </row>
    <row r="213" spans="1:7" x14ac:dyDescent="0.25">
      <c r="A213" s="78">
        <v>257568</v>
      </c>
      <c r="B213" s="80">
        <v>4760</v>
      </c>
      <c r="C213" s="159">
        <v>4520</v>
      </c>
      <c r="D213" s="161"/>
      <c r="E213" s="78">
        <v>320104</v>
      </c>
      <c r="F213" s="188">
        <v>8730</v>
      </c>
      <c r="G213" s="159">
        <v>8326</v>
      </c>
    </row>
    <row r="214" spans="1:7" x14ac:dyDescent="0.25">
      <c r="A214" s="78">
        <v>257719</v>
      </c>
      <c r="B214" s="80">
        <v>4520</v>
      </c>
      <c r="C214" s="159">
        <v>4281</v>
      </c>
      <c r="D214" s="161"/>
      <c r="E214" s="78">
        <v>320291</v>
      </c>
      <c r="F214" s="188">
        <v>8326</v>
      </c>
      <c r="G214" s="159">
        <v>7923</v>
      </c>
    </row>
    <row r="215" spans="1:7" x14ac:dyDescent="0.25">
      <c r="A215" s="78">
        <v>257869</v>
      </c>
      <c r="B215" s="80">
        <v>4281</v>
      </c>
      <c r="C215" s="159">
        <v>4041</v>
      </c>
      <c r="D215" s="161"/>
      <c r="E215" s="78">
        <v>320478</v>
      </c>
      <c r="F215" s="188">
        <v>7923</v>
      </c>
      <c r="G215" s="159">
        <v>7520</v>
      </c>
    </row>
    <row r="216" spans="1:7" x14ac:dyDescent="0.25">
      <c r="A216" s="78">
        <v>258020</v>
      </c>
      <c r="B216" s="80">
        <v>4041</v>
      </c>
      <c r="C216" s="159">
        <v>3802</v>
      </c>
      <c r="D216" s="161"/>
      <c r="E216" s="78">
        <v>320665</v>
      </c>
      <c r="F216" s="188">
        <v>7520</v>
      </c>
      <c r="G216" s="159">
        <v>7117</v>
      </c>
    </row>
    <row r="217" spans="1:7" x14ac:dyDescent="0.25">
      <c r="A217" s="78">
        <v>258170</v>
      </c>
      <c r="B217" s="80">
        <v>3802</v>
      </c>
      <c r="C217" s="159">
        <v>3564</v>
      </c>
      <c r="D217" s="161"/>
      <c r="E217" s="78">
        <v>320852</v>
      </c>
      <c r="F217" s="188">
        <v>7117</v>
      </c>
      <c r="G217" s="159">
        <v>6714</v>
      </c>
    </row>
    <row r="218" spans="1:7" x14ac:dyDescent="0.25">
      <c r="A218" s="78">
        <v>258321</v>
      </c>
      <c r="B218" s="80">
        <v>3564</v>
      </c>
      <c r="C218" s="159">
        <v>3324</v>
      </c>
      <c r="D218" s="161"/>
      <c r="E218" s="78">
        <v>321039</v>
      </c>
      <c r="F218" s="188">
        <v>6714</v>
      </c>
      <c r="G218" s="159">
        <v>6311</v>
      </c>
    </row>
    <row r="219" spans="1:7" x14ac:dyDescent="0.25">
      <c r="A219" s="78">
        <v>258472</v>
      </c>
      <c r="B219" s="80">
        <v>3324</v>
      </c>
      <c r="C219" s="159">
        <v>3086</v>
      </c>
      <c r="D219" s="161"/>
      <c r="E219" s="78">
        <v>321227</v>
      </c>
      <c r="F219" s="188">
        <v>6311</v>
      </c>
      <c r="G219" s="159">
        <v>5909</v>
      </c>
    </row>
    <row r="220" spans="1:7" x14ac:dyDescent="0.25">
      <c r="A220" s="78">
        <v>258622</v>
      </c>
      <c r="B220" s="80">
        <v>3086</v>
      </c>
      <c r="C220" s="159">
        <v>2847</v>
      </c>
      <c r="D220" s="161"/>
      <c r="E220" s="78">
        <v>321414</v>
      </c>
      <c r="F220" s="188">
        <v>5909</v>
      </c>
      <c r="G220" s="159">
        <v>5508</v>
      </c>
    </row>
    <row r="221" spans="1:7" x14ac:dyDescent="0.25">
      <c r="A221" s="78">
        <v>258773</v>
      </c>
      <c r="B221" s="80">
        <v>2847</v>
      </c>
      <c r="C221" s="159">
        <v>2609</v>
      </c>
      <c r="D221" s="161"/>
      <c r="E221" s="78">
        <v>321601</v>
      </c>
      <c r="F221" s="188">
        <v>5508</v>
      </c>
      <c r="G221" s="159">
        <v>5106</v>
      </c>
    </row>
    <row r="222" spans="1:7" x14ac:dyDescent="0.25">
      <c r="A222" s="78">
        <v>258924</v>
      </c>
      <c r="B222" s="80">
        <v>2609</v>
      </c>
      <c r="C222" s="159">
        <v>2371</v>
      </c>
      <c r="D222" s="161"/>
      <c r="E222" s="78">
        <v>321788</v>
      </c>
      <c r="F222" s="188">
        <v>5106</v>
      </c>
      <c r="G222" s="159">
        <v>4705</v>
      </c>
    </row>
    <row r="223" spans="1:7" x14ac:dyDescent="0.25">
      <c r="A223" s="78">
        <v>259074</v>
      </c>
      <c r="B223" s="80">
        <v>2371</v>
      </c>
      <c r="C223" s="159">
        <v>2133</v>
      </c>
      <c r="D223" s="161"/>
      <c r="E223" s="78">
        <v>321975</v>
      </c>
      <c r="F223" s="188">
        <v>4705</v>
      </c>
      <c r="G223" s="159">
        <v>4304</v>
      </c>
    </row>
    <row r="224" spans="1:7" x14ac:dyDescent="0.25">
      <c r="A224" s="78">
        <v>259225</v>
      </c>
      <c r="B224" s="80">
        <v>2133</v>
      </c>
      <c r="C224" s="159">
        <v>1895</v>
      </c>
      <c r="D224" s="161"/>
      <c r="E224" s="78">
        <v>322163</v>
      </c>
      <c r="F224" s="188">
        <v>4304</v>
      </c>
      <c r="G224" s="159">
        <v>3904</v>
      </c>
    </row>
    <row r="225" spans="1:7" x14ac:dyDescent="0.25">
      <c r="A225" s="78">
        <v>259375</v>
      </c>
      <c r="B225" s="80">
        <v>1895</v>
      </c>
      <c r="C225" s="159">
        <v>1658</v>
      </c>
      <c r="D225" s="161"/>
      <c r="E225" s="78">
        <v>322350</v>
      </c>
      <c r="F225" s="188">
        <v>3904</v>
      </c>
      <c r="G225" s="159">
        <v>3504</v>
      </c>
    </row>
    <row r="226" spans="1:7" x14ac:dyDescent="0.25">
      <c r="A226" s="78">
        <v>259526</v>
      </c>
      <c r="B226" s="80">
        <v>1658</v>
      </c>
      <c r="C226" s="159">
        <v>1420</v>
      </c>
      <c r="D226" s="161"/>
      <c r="E226" s="78">
        <v>322537</v>
      </c>
      <c r="F226" s="188">
        <v>3504</v>
      </c>
      <c r="G226" s="159">
        <v>3104</v>
      </c>
    </row>
    <row r="227" spans="1:7" x14ac:dyDescent="0.25">
      <c r="A227" s="78">
        <v>259677</v>
      </c>
      <c r="B227" s="80">
        <v>1420</v>
      </c>
      <c r="C227" s="159">
        <v>1184</v>
      </c>
      <c r="D227" s="161"/>
      <c r="E227" s="78">
        <v>322724</v>
      </c>
      <c r="F227" s="188">
        <v>3104</v>
      </c>
      <c r="G227" s="159">
        <v>2704</v>
      </c>
    </row>
    <row r="228" spans="1:7" x14ac:dyDescent="0.25">
      <c r="A228" s="78">
        <v>259827</v>
      </c>
      <c r="B228" s="80">
        <v>1184</v>
      </c>
      <c r="C228" s="159">
        <v>946</v>
      </c>
      <c r="D228" s="161"/>
      <c r="E228" s="78">
        <v>322911</v>
      </c>
      <c r="F228" s="188">
        <v>2704</v>
      </c>
      <c r="G228" s="159">
        <v>2305</v>
      </c>
    </row>
    <row r="229" spans="1:7" x14ac:dyDescent="0.25">
      <c r="A229" s="78">
        <v>259978</v>
      </c>
      <c r="B229" s="80">
        <v>946</v>
      </c>
      <c r="C229" s="159">
        <v>709</v>
      </c>
      <c r="D229" s="161"/>
      <c r="E229" s="78">
        <v>323099</v>
      </c>
      <c r="F229" s="188">
        <v>2305</v>
      </c>
      <c r="G229" s="159">
        <v>1906</v>
      </c>
    </row>
    <row r="230" spans="1:7" x14ac:dyDescent="0.25">
      <c r="A230" s="78">
        <v>260129</v>
      </c>
      <c r="B230" s="80">
        <v>709</v>
      </c>
      <c r="C230" s="159">
        <v>473</v>
      </c>
      <c r="D230" s="161"/>
      <c r="E230" s="78">
        <v>323286</v>
      </c>
      <c r="F230" s="188">
        <v>1906</v>
      </c>
      <c r="G230" s="159">
        <v>1507</v>
      </c>
    </row>
    <row r="231" spans="1:7" x14ac:dyDescent="0.25">
      <c r="A231" s="78">
        <v>260279</v>
      </c>
      <c r="B231" s="80">
        <v>473</v>
      </c>
      <c r="C231" s="159">
        <v>236</v>
      </c>
      <c r="D231" s="161"/>
      <c r="E231" s="78">
        <v>323473</v>
      </c>
      <c r="F231" s="188">
        <v>1507</v>
      </c>
      <c r="G231" s="159">
        <v>1109</v>
      </c>
    </row>
    <row r="232" spans="1:7" x14ac:dyDescent="0.25">
      <c r="A232" s="78">
        <v>260430</v>
      </c>
      <c r="B232" s="80">
        <v>236</v>
      </c>
      <c r="C232" s="159">
        <v>0</v>
      </c>
      <c r="D232" s="161"/>
      <c r="E232" s="78">
        <v>323660</v>
      </c>
      <c r="F232" s="188">
        <v>1109</v>
      </c>
      <c r="G232" s="159">
        <v>711</v>
      </c>
    </row>
    <row r="233" spans="1:7" x14ac:dyDescent="0.25">
      <c r="A233" s="78">
        <v>260580</v>
      </c>
      <c r="B233" s="80">
        <v>0</v>
      </c>
      <c r="D233" s="161"/>
      <c r="E233" s="78">
        <v>323847</v>
      </c>
      <c r="F233" s="188">
        <v>711</v>
      </c>
      <c r="G233" s="159">
        <v>0</v>
      </c>
    </row>
    <row r="234" spans="1:7" s="82" customFormat="1" x14ac:dyDescent="0.25">
      <c r="A234"/>
      <c r="B234"/>
      <c r="C234" s="160"/>
      <c r="D234" s="162"/>
      <c r="E234" s="78">
        <v>324182</v>
      </c>
      <c r="F234" s="188">
        <v>0</v>
      </c>
      <c r="G234" s="160"/>
    </row>
    <row r="235" spans="1:7" s="82" customFormat="1" x14ac:dyDescent="0.25">
      <c r="A235"/>
      <c r="B235"/>
      <c r="C235" s="160"/>
      <c r="D235" s="162"/>
      <c r="G235" s="160"/>
    </row>
    <row r="236" spans="1:7" s="82" customFormat="1" x14ac:dyDescent="0.25">
      <c r="A236"/>
      <c r="B236"/>
      <c r="C236" s="160"/>
      <c r="G236" s="160"/>
    </row>
    <row r="237" spans="1:7" s="82" customFormat="1" x14ac:dyDescent="0.25">
      <c r="A237"/>
      <c r="B237"/>
      <c r="C237" s="160"/>
      <c r="G237" s="160"/>
    </row>
    <row r="238" spans="1:7" s="82" customFormat="1" x14ac:dyDescent="0.25">
      <c r="A238"/>
      <c r="B238"/>
      <c r="C238" s="160"/>
      <c r="G238" s="160"/>
    </row>
    <row r="239" spans="1:7" s="82" customFormat="1" x14ac:dyDescent="0.25">
      <c r="A239"/>
      <c r="B239"/>
      <c r="C239" s="160"/>
      <c r="G239" s="160"/>
    </row>
    <row r="240" spans="1:7" s="82" customFormat="1" x14ac:dyDescent="0.25">
      <c r="A240"/>
      <c r="B240"/>
      <c r="C240" s="160"/>
      <c r="G240" s="160"/>
    </row>
    <row r="241" spans="1:7" s="82" customFormat="1" x14ac:dyDescent="0.25">
      <c r="A241"/>
      <c r="B241"/>
      <c r="C241" s="160"/>
      <c r="G241" s="160"/>
    </row>
    <row r="242" spans="1:7" s="82" customFormat="1" x14ac:dyDescent="0.25">
      <c r="A242"/>
      <c r="B242"/>
      <c r="C242" s="160"/>
      <c r="G242" s="160"/>
    </row>
    <row r="243" spans="1:7" s="82" customFormat="1" x14ac:dyDescent="0.25">
      <c r="A243"/>
      <c r="B243"/>
      <c r="C243" s="160"/>
      <c r="G243" s="160"/>
    </row>
    <row r="244" spans="1:7" s="82" customFormat="1" x14ac:dyDescent="0.25">
      <c r="A244"/>
      <c r="B244"/>
      <c r="C244" s="160"/>
      <c r="G244" s="160"/>
    </row>
    <row r="245" spans="1:7" s="82" customFormat="1" x14ac:dyDescent="0.25">
      <c r="A245"/>
      <c r="B245"/>
      <c r="C245" s="160"/>
      <c r="G245" s="160"/>
    </row>
    <row r="246" spans="1:7" s="82" customFormat="1" x14ac:dyDescent="0.25">
      <c r="A246"/>
      <c r="B246"/>
      <c r="C246" s="160"/>
      <c r="G246" s="160"/>
    </row>
    <row r="247" spans="1:7" s="82" customFormat="1" x14ac:dyDescent="0.25">
      <c r="A247"/>
      <c r="B247"/>
      <c r="C247" s="160"/>
      <c r="G247" s="160"/>
    </row>
    <row r="248" spans="1:7" s="82" customFormat="1" x14ac:dyDescent="0.25">
      <c r="A248"/>
      <c r="B248"/>
      <c r="C248" s="160"/>
      <c r="G248" s="160"/>
    </row>
    <row r="249" spans="1:7" s="82" customFormat="1" x14ac:dyDescent="0.25">
      <c r="A249"/>
      <c r="B249"/>
      <c r="C249" s="160"/>
      <c r="G249" s="160"/>
    </row>
    <row r="250" spans="1:7" s="82" customFormat="1" x14ac:dyDescent="0.25">
      <c r="A250"/>
      <c r="B250"/>
      <c r="C250" s="160"/>
      <c r="G250" s="160"/>
    </row>
    <row r="251" spans="1:7" s="82" customFormat="1" x14ac:dyDescent="0.25">
      <c r="A251"/>
      <c r="B251"/>
      <c r="C251" s="160"/>
      <c r="G251" s="160"/>
    </row>
    <row r="252" spans="1:7" s="82" customFormat="1" x14ac:dyDescent="0.25">
      <c r="A252"/>
      <c r="B252"/>
      <c r="C252" s="160"/>
      <c r="G252" s="160"/>
    </row>
    <row r="253" spans="1:7" s="82" customFormat="1" x14ac:dyDescent="0.25">
      <c r="A253"/>
      <c r="B253"/>
      <c r="C253" s="160"/>
      <c r="G253" s="160"/>
    </row>
    <row r="254" spans="1:7" s="82" customFormat="1" x14ac:dyDescent="0.25">
      <c r="A254"/>
      <c r="B254"/>
      <c r="C254" s="160"/>
      <c r="G254" s="160"/>
    </row>
    <row r="255" spans="1:7" s="82" customFormat="1" x14ac:dyDescent="0.25">
      <c r="A255"/>
      <c r="B255"/>
      <c r="C255" s="160"/>
      <c r="G255" s="160"/>
    </row>
    <row r="256" spans="1:7" s="82" customFormat="1" x14ac:dyDescent="0.25">
      <c r="A256"/>
      <c r="B256"/>
      <c r="C256" s="160"/>
      <c r="G256" s="160"/>
    </row>
    <row r="257" spans="1:7" s="82" customFormat="1" x14ac:dyDescent="0.25">
      <c r="A257"/>
      <c r="B257"/>
      <c r="C257" s="160"/>
      <c r="G257" s="160"/>
    </row>
    <row r="258" spans="1:7" s="82" customFormat="1" x14ac:dyDescent="0.25">
      <c r="A258"/>
      <c r="B258"/>
      <c r="C258" s="160"/>
      <c r="G258" s="160"/>
    </row>
    <row r="259" spans="1:7" s="82" customFormat="1" x14ac:dyDescent="0.25">
      <c r="A259"/>
      <c r="B259"/>
      <c r="C259" s="160"/>
      <c r="G259" s="160"/>
    </row>
    <row r="260" spans="1:7" s="82" customFormat="1" x14ac:dyDescent="0.25">
      <c r="A260"/>
      <c r="B260"/>
      <c r="C260" s="160"/>
      <c r="G260" s="160"/>
    </row>
    <row r="261" spans="1:7" s="82" customFormat="1" x14ac:dyDescent="0.25">
      <c r="A261"/>
      <c r="B261"/>
      <c r="C261" s="160"/>
      <c r="G261" s="160"/>
    </row>
    <row r="262" spans="1:7" s="82" customFormat="1" x14ac:dyDescent="0.25">
      <c r="A262"/>
      <c r="B262"/>
      <c r="C262" s="160"/>
      <c r="G262" s="160"/>
    </row>
    <row r="263" spans="1:7" s="82" customFormat="1" x14ac:dyDescent="0.25">
      <c r="A263"/>
      <c r="B263"/>
      <c r="C263" s="160"/>
      <c r="G263" s="160"/>
    </row>
    <row r="264" spans="1:7" s="82" customFormat="1" x14ac:dyDescent="0.25">
      <c r="A264"/>
      <c r="B264"/>
      <c r="C264" s="160"/>
      <c r="G264" s="160"/>
    </row>
    <row r="265" spans="1:7" s="82" customFormat="1" x14ac:dyDescent="0.25">
      <c r="A265"/>
      <c r="B265"/>
      <c r="C265" s="160"/>
      <c r="G265" s="160"/>
    </row>
    <row r="266" spans="1:7" s="82" customFormat="1" x14ac:dyDescent="0.25">
      <c r="A266"/>
      <c r="B266"/>
      <c r="C266" s="160"/>
      <c r="G266" s="160"/>
    </row>
    <row r="267" spans="1:7" s="82" customFormat="1" x14ac:dyDescent="0.25">
      <c r="A267"/>
      <c r="B267"/>
      <c r="C267" s="160"/>
      <c r="G267" s="160"/>
    </row>
    <row r="268" spans="1:7" s="82" customFormat="1" x14ac:dyDescent="0.25">
      <c r="A268"/>
      <c r="B268"/>
      <c r="C268" s="160"/>
      <c r="G268" s="160"/>
    </row>
    <row r="269" spans="1:7" s="82" customFormat="1" x14ac:dyDescent="0.25">
      <c r="A269"/>
      <c r="B269"/>
      <c r="C269" s="160"/>
      <c r="G269" s="160"/>
    </row>
    <row r="270" spans="1:7" s="82" customFormat="1" x14ac:dyDescent="0.25">
      <c r="A270"/>
      <c r="B270"/>
      <c r="C270" s="160"/>
      <c r="G270" s="160"/>
    </row>
    <row r="271" spans="1:7" s="82" customFormat="1" x14ac:dyDescent="0.25">
      <c r="A271"/>
      <c r="B271"/>
      <c r="C271" s="160"/>
      <c r="G271" s="160"/>
    </row>
    <row r="272" spans="1:7" s="82" customFormat="1" x14ac:dyDescent="0.25">
      <c r="A272"/>
      <c r="B272"/>
      <c r="C272" s="160"/>
      <c r="G272" s="160"/>
    </row>
    <row r="273" spans="1:7" s="82" customFormat="1" x14ac:dyDescent="0.25">
      <c r="A273"/>
      <c r="B273"/>
      <c r="C273" s="160"/>
      <c r="G273" s="160"/>
    </row>
    <row r="274" spans="1:7" s="82" customFormat="1" x14ac:dyDescent="0.25">
      <c r="A274"/>
      <c r="B274"/>
      <c r="C274" s="160"/>
      <c r="G274" s="160"/>
    </row>
    <row r="275" spans="1:7" s="82" customFormat="1" x14ac:dyDescent="0.25">
      <c r="A275"/>
      <c r="B275"/>
      <c r="C275" s="160"/>
      <c r="G275" s="160"/>
    </row>
    <row r="276" spans="1:7" s="82" customFormat="1" x14ac:dyDescent="0.25">
      <c r="A276"/>
      <c r="B276"/>
      <c r="C276" s="160"/>
      <c r="G276" s="160"/>
    </row>
    <row r="277" spans="1:7" s="82" customFormat="1" x14ac:dyDescent="0.25">
      <c r="A277"/>
      <c r="B277"/>
      <c r="C277" s="160"/>
      <c r="G277" s="160"/>
    </row>
    <row r="278" spans="1:7" s="82" customFormat="1" x14ac:dyDescent="0.25">
      <c r="A278"/>
      <c r="B278"/>
      <c r="C278" s="160"/>
      <c r="G278" s="160"/>
    </row>
    <row r="279" spans="1:7" s="82" customFormat="1" x14ac:dyDescent="0.25">
      <c r="A279"/>
      <c r="B279"/>
      <c r="C279" s="160"/>
      <c r="G279" s="160"/>
    </row>
    <row r="280" spans="1:7" s="82" customFormat="1" x14ac:dyDescent="0.25">
      <c r="A280"/>
      <c r="B280"/>
      <c r="C280" s="160"/>
      <c r="G280" s="160"/>
    </row>
    <row r="281" spans="1:7" s="82" customFormat="1" x14ac:dyDescent="0.25">
      <c r="A281"/>
      <c r="B281"/>
      <c r="C281" s="160"/>
      <c r="G281" s="160"/>
    </row>
    <row r="282" spans="1:7" s="82" customFormat="1" x14ac:dyDescent="0.25">
      <c r="A282"/>
      <c r="B282"/>
      <c r="C282" s="160"/>
      <c r="G282" s="160"/>
    </row>
  </sheetData>
  <sheetProtection algorithmName="SHA-512" hashValue="A65kFpVm2dRXMpsjQHycDvK4+epiDSSaog5YFPzTYd+tsclwJZQEeosrwj8aGs5j0CzX98aMup1svKMXcwHVBw==" saltValue="73t895Hlr5L/2rGiyF8Lp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r T Y U o H 2 I D u k A A A A 9 Q A A A B I A H A B D b 2 5 m a W c v U G F j a 2 F n Z S 5 4 b W w g o h g A K K A U A A A A A A A A A A A A A A A A A A A A A A A A A A A A h Y + x D o I w G I R f h X S n L c V B y U + J c Z X E a G J c m 1 K h E Y q h x f J u D j 6 S r y B G U T f H + + 4 u u b t f b 5 A N T R 1 c V G d 1 a 1 I U Y Y o C Z W R b a F O m q H f H c I 4 y D h s h T 6 J U w R g 2 N h m s T l H l 3 D k h x H u P f Y z b r i S M 0 o g c 8 v V O V q o R o T b W C S M V + r S K / y 3 E Y f 8 a w x l e x H j G G K Z A J g a 5 N l + f j X O f 7 g + E V V + 7 v l N c 2 X C 5 B T J J I O 8 L / A F Q S w M E F A A C A A g A y r T Y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0 2 F I o i k e 4 D g A A A B E A A A A T A B w A R m 9 y b X V s Y X M v U 2 V j d G l v b j E u b S C i G A A o o B Q A A A A A A A A A A A A A A A A A A A A A A A A A A A A r T k 0 u y c z P U w i G 0 I b W A F B L A Q I t A B Q A A g A I A M q 0 2 F K B 9 i A 7 p A A A A P U A A A A S A A A A A A A A A A A A A A A A A A A A A A B D b 2 5 m a W c v U G F j a 2 F n Z S 5 4 b W x Q S w E C L Q A U A A I A C A D K t N h S D 8 r p q 6 Q A A A D p A A A A E w A A A A A A A A A A A A A A A A D w A A A A W 0 N v b n R l b n R f V H l w Z X N d L n h t b F B L A Q I t A B Q A A g A I A M q 0 2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a A X G J e t a T Z u I q o 4 p 0 M S n A A A A A A I A A A A A A B B m A A A A A Q A A I A A A A L h b O 3 k H e 7 Q M 1 h S c t 2 G Z h y u 9 M D Z e s 0 B E 8 Z l 8 L T M a X I M P A A A A A A 6 A A A A A A g A A I A A A A L g Q 3 a J j c W F y k x Y U J J 5 M 6 a q S T 1 z S M z Y P h y a 1 c n s P y j 2 e U A A A A D Q T 5 j R W 9 G W j n n 0 I 7 + / j G / o v q R e X 0 t r 0 / r w z z A d V G 4 r i i 9 8 T e P 5 N b I K 6 y K 5 I 7 N l T C L 9 + i B j J 7 I Z O o Q 0 K w k F P U g L R h M v P g M 2 s Z V n o I z O i U Q 6 J Q A A A A E M S f u e + C P b Q B a i e / c Q T g b R m p H J Y J R B A K 4 c P 3 S N 8 D l e o 1 G I s u x S U z O H x p C + l f m t k V a c p S 5 J 0 A r C C j q V k p p x K Z E s = < / D a t a M a s h u p > 
</file>

<file path=customXml/itemProps1.xml><?xml version="1.0" encoding="utf-8"?>
<ds:datastoreItem xmlns:ds="http://schemas.openxmlformats.org/officeDocument/2006/customXml" ds:itemID="{52A36932-A8C8-4BEF-A09D-60E362019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Liquidación</vt:lpstr>
      <vt:lpstr>Escala Impuesto 2022 mensual</vt:lpstr>
      <vt:lpstr>AnexoIV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Paula Andrea</cp:lastModifiedBy>
  <cp:revision/>
  <cp:lastPrinted>2022-04-04T15:28:07Z</cp:lastPrinted>
  <dcterms:created xsi:type="dcterms:W3CDTF">2021-06-15T23:45:15Z</dcterms:created>
  <dcterms:modified xsi:type="dcterms:W3CDTF">2022-06-13T04:41:44Z</dcterms:modified>
  <cp:category/>
  <cp:contentStatus/>
</cp:coreProperties>
</file>