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aria\OneDrive - Económicas - UBA\Documentos\Consejo\Planilla 4 categoría Revisión\Modelo 2022\"/>
    </mc:Choice>
  </mc:AlternateContent>
  <workbookProtection workbookAlgorithmName="SHA-512" workbookHashValue="atanDMTIoHrIufLY2tscGER4B4QtpVBKGzEsEJC077F5mN3j1UB/iyG9n3Seg2tDeiP1WiJPWw+wFuh8d1YDtw==" workbookSaltValue="WSuUroMZSXD13knGfCMN1A==" workbookSpinCount="100000" lockStructure="1"/>
  <bookViews>
    <workbookView xWindow="-120" yWindow="-120" windowWidth="29040" windowHeight="15840"/>
  </bookViews>
  <sheets>
    <sheet name="Planilla de Liquidación" sheetId="1" r:id="rId1"/>
    <sheet name="Escala Impuesto 2022 mensual" sheetId="2" r:id="rId2"/>
    <sheet name="AnexoIV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5" i="1" l="1"/>
  <c r="L76" i="1"/>
  <c r="C144" i="1"/>
  <c r="C143" i="1"/>
  <c r="C142" i="1"/>
  <c r="B50" i="1"/>
  <c r="C61" i="1"/>
  <c r="D61" i="1"/>
  <c r="E61" i="1"/>
  <c r="F61" i="1"/>
  <c r="G61" i="1"/>
  <c r="H61" i="1"/>
  <c r="I61" i="1"/>
  <c r="J61" i="1"/>
  <c r="K61" i="1"/>
  <c r="L61" i="1"/>
  <c r="M61" i="1"/>
  <c r="B61" i="1"/>
  <c r="M52" i="1"/>
  <c r="L52" i="1"/>
  <c r="K52" i="1"/>
  <c r="J52" i="1"/>
  <c r="I52" i="1"/>
  <c r="H52" i="1"/>
  <c r="G52" i="1"/>
  <c r="F52" i="1"/>
  <c r="E52" i="1"/>
  <c r="D52" i="1"/>
  <c r="C52" i="1"/>
  <c r="B52" i="1"/>
  <c r="M47" i="1"/>
  <c r="L47" i="1"/>
  <c r="K47" i="1"/>
  <c r="J47" i="1"/>
  <c r="I47" i="1"/>
  <c r="H47" i="1"/>
  <c r="G47" i="1"/>
  <c r="F47" i="1"/>
  <c r="E47" i="1"/>
  <c r="D47" i="1"/>
  <c r="C47" i="1"/>
  <c r="B47" i="1"/>
  <c r="M133" i="1"/>
  <c r="M136" i="1" s="1"/>
  <c r="L133" i="1"/>
  <c r="L136" i="1" s="1"/>
  <c r="K133" i="1"/>
  <c r="K136" i="1" s="1"/>
  <c r="J133" i="1"/>
  <c r="J136" i="1" s="1"/>
  <c r="I133" i="1"/>
  <c r="I136" i="1" s="1"/>
  <c r="H133" i="1"/>
  <c r="H136" i="1" s="1"/>
  <c r="G133" i="1"/>
  <c r="G136" i="1" s="1"/>
  <c r="F133" i="1"/>
  <c r="F136" i="1" s="1"/>
  <c r="E133" i="1"/>
  <c r="E136" i="1" s="1"/>
  <c r="D133" i="1"/>
  <c r="D136" i="1" s="1"/>
  <c r="C133" i="1"/>
  <c r="C136" i="1" s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D135" i="1" l="1"/>
  <c r="I134" i="1"/>
  <c r="I135" i="1" s="1"/>
  <c r="K134" i="1"/>
  <c r="K135" i="1" s="1"/>
  <c r="G134" i="1"/>
  <c r="G135" i="1" s="1"/>
  <c r="H134" i="1"/>
  <c r="H135" i="1" s="1"/>
  <c r="C134" i="1"/>
  <c r="C135" i="1" s="1"/>
  <c r="F134" i="1"/>
  <c r="F135" i="1"/>
  <c r="J134" i="1"/>
  <c r="J135" i="1" s="1"/>
  <c r="D134" i="1"/>
  <c r="L134" i="1"/>
  <c r="L135" i="1" s="1"/>
  <c r="B134" i="1"/>
  <c r="B136" i="1" s="1"/>
  <c r="E134" i="1"/>
  <c r="E135" i="1" s="1"/>
  <c r="M134" i="1"/>
  <c r="M135" i="1" s="1"/>
  <c r="B135" i="1" l="1"/>
  <c r="B119" i="1"/>
  <c r="M119" i="1"/>
  <c r="L119" i="1"/>
  <c r="K119" i="1"/>
  <c r="J119" i="1"/>
  <c r="I119" i="1"/>
  <c r="H119" i="1"/>
  <c r="G119" i="1"/>
  <c r="F119" i="1"/>
  <c r="E119" i="1"/>
  <c r="D119" i="1"/>
  <c r="C119" i="1"/>
  <c r="C67" i="1" l="1"/>
  <c r="D67" i="1"/>
  <c r="E67" i="1"/>
  <c r="F67" i="1"/>
  <c r="G67" i="1"/>
  <c r="H67" i="1"/>
  <c r="I67" i="1"/>
  <c r="J67" i="1"/>
  <c r="K67" i="1"/>
  <c r="L67" i="1"/>
  <c r="M67" i="1"/>
  <c r="B67" i="1"/>
  <c r="C49" i="1"/>
  <c r="D49" i="1"/>
  <c r="E49" i="1"/>
  <c r="F49" i="1"/>
  <c r="G49" i="1"/>
  <c r="H49" i="1"/>
  <c r="I49" i="1"/>
  <c r="J49" i="1"/>
  <c r="K49" i="1"/>
  <c r="L49" i="1"/>
  <c r="M49" i="1"/>
  <c r="B49" i="1"/>
  <c r="M50" i="1" l="1"/>
  <c r="C50" i="1"/>
  <c r="D50" i="1"/>
  <c r="E50" i="1"/>
  <c r="F50" i="1"/>
  <c r="G50" i="1"/>
  <c r="H50" i="1"/>
  <c r="I50" i="1"/>
  <c r="J50" i="1"/>
  <c r="K50" i="1"/>
  <c r="L50" i="1"/>
  <c r="B44" i="1"/>
  <c r="B113" i="1"/>
  <c r="B65" i="1" s="1"/>
  <c r="G113" i="1"/>
  <c r="C113" i="1"/>
  <c r="D113" i="1"/>
  <c r="E113" i="1"/>
  <c r="F113" i="1"/>
  <c r="H113" i="1"/>
  <c r="I113" i="1"/>
  <c r="J113" i="1"/>
  <c r="K113" i="1"/>
  <c r="L113" i="1"/>
  <c r="M113" i="1"/>
  <c r="B66" i="1"/>
  <c r="C110" i="1"/>
  <c r="D110" i="1"/>
  <c r="E110" i="1"/>
  <c r="F110" i="1"/>
  <c r="G110" i="1"/>
  <c r="H110" i="1"/>
  <c r="I110" i="1"/>
  <c r="J110" i="1"/>
  <c r="K110" i="1"/>
  <c r="L110" i="1"/>
  <c r="M110" i="1"/>
  <c r="B110" i="1"/>
  <c r="B63" i="1" s="1"/>
  <c r="B64" i="1"/>
  <c r="C44" i="1"/>
  <c r="D44" i="1"/>
  <c r="E44" i="1"/>
  <c r="F44" i="1"/>
  <c r="G44" i="1"/>
  <c r="H44" i="1"/>
  <c r="I44" i="1"/>
  <c r="J44" i="1"/>
  <c r="K44" i="1"/>
  <c r="L44" i="1"/>
  <c r="M44" i="1"/>
  <c r="C45" i="1"/>
  <c r="D45" i="1"/>
  <c r="E45" i="1"/>
  <c r="F45" i="1"/>
  <c r="G45" i="1"/>
  <c r="H45" i="1"/>
  <c r="I45" i="1"/>
  <c r="J45" i="1"/>
  <c r="K45" i="1"/>
  <c r="L45" i="1"/>
  <c r="M45" i="1"/>
  <c r="B45" i="1"/>
  <c r="B16" i="1"/>
  <c r="B13" i="1"/>
  <c r="B62" i="1"/>
  <c r="C77" i="1"/>
  <c r="D77" i="1"/>
  <c r="E77" i="1"/>
  <c r="F77" i="1"/>
  <c r="G77" i="1"/>
  <c r="H77" i="1"/>
  <c r="I77" i="1"/>
  <c r="J77" i="1"/>
  <c r="K77" i="1"/>
  <c r="L77" i="1"/>
  <c r="M77" i="1"/>
  <c r="B77" i="1"/>
  <c r="C76" i="1"/>
  <c r="D76" i="1"/>
  <c r="E76" i="1"/>
  <c r="F76" i="1"/>
  <c r="G76" i="1"/>
  <c r="H76" i="1"/>
  <c r="I76" i="1"/>
  <c r="J76" i="1"/>
  <c r="K76" i="1"/>
  <c r="M76" i="1"/>
  <c r="B76" i="1"/>
  <c r="C105" i="1"/>
  <c r="C78" i="1" s="1"/>
  <c r="D78" i="1"/>
  <c r="E78" i="1"/>
  <c r="F105" i="1"/>
  <c r="F78" i="1" s="1"/>
  <c r="G78" i="1"/>
  <c r="H78" i="1"/>
  <c r="I78" i="1"/>
  <c r="J105" i="1"/>
  <c r="J78" i="1" s="1"/>
  <c r="K78" i="1"/>
  <c r="L105" i="1"/>
  <c r="L78" i="1" s="1"/>
  <c r="M105" i="1"/>
  <c r="M78" i="1" s="1"/>
  <c r="B78" i="1"/>
  <c r="B19" i="1" l="1"/>
  <c r="B18" i="1"/>
  <c r="B17" i="1"/>
  <c r="B38" i="1"/>
  <c r="C64" i="1"/>
  <c r="C65" i="1"/>
  <c r="C66" i="1"/>
  <c r="C63" i="1"/>
  <c r="D63" i="1" s="1"/>
  <c r="E63" i="1" s="1"/>
  <c r="C62" i="1"/>
  <c r="M16" i="1"/>
  <c r="L16" i="1"/>
  <c r="K16" i="1"/>
  <c r="J16" i="1"/>
  <c r="I16" i="1"/>
  <c r="H16" i="1"/>
  <c r="G16" i="1"/>
  <c r="F16" i="1"/>
  <c r="E16" i="1"/>
  <c r="D16" i="1"/>
  <c r="C16" i="1"/>
  <c r="B39" i="1" l="1"/>
  <c r="B40" i="1" s="1"/>
  <c r="D64" i="1"/>
  <c r="D65" i="1"/>
  <c r="E65" i="1" s="1"/>
  <c r="F65" i="1" s="1"/>
  <c r="G65" i="1" s="1"/>
  <c r="D66" i="1"/>
  <c r="F63" i="1"/>
  <c r="G63" i="1" s="1"/>
  <c r="D62" i="1"/>
  <c r="E64" i="1" l="1"/>
  <c r="H65" i="1"/>
  <c r="I65" i="1" s="1"/>
  <c r="J65" i="1" s="1"/>
  <c r="E66" i="1"/>
  <c r="F66" i="1" s="1"/>
  <c r="H63" i="1"/>
  <c r="I63" i="1" s="1"/>
  <c r="E62" i="1"/>
  <c r="F62" i="1" s="1"/>
  <c r="F64" i="1" l="1"/>
  <c r="G64" i="1" s="1"/>
  <c r="K65" i="1"/>
  <c r="L65" i="1" s="1"/>
  <c r="M65" i="1" s="1"/>
  <c r="G66" i="1"/>
  <c r="J63" i="1"/>
  <c r="G62" i="1"/>
  <c r="H62" i="1" s="1"/>
  <c r="H64" i="1" l="1"/>
  <c r="H66" i="1"/>
  <c r="I66" i="1" s="1"/>
  <c r="K63" i="1"/>
  <c r="I62" i="1"/>
  <c r="J62" i="1" s="1"/>
  <c r="K62" i="1" s="1"/>
  <c r="B21" i="1"/>
  <c r="B23" i="1" s="1"/>
  <c r="C13" i="1"/>
  <c r="D13" i="1"/>
  <c r="E13" i="1"/>
  <c r="F13" i="1"/>
  <c r="I13" i="1"/>
  <c r="J13" i="1"/>
  <c r="K13" i="1"/>
  <c r="L13" i="1"/>
  <c r="M13" i="1"/>
  <c r="B128" i="1" l="1"/>
  <c r="B131" i="1"/>
  <c r="L19" i="1"/>
  <c r="L18" i="1"/>
  <c r="L17" i="1"/>
  <c r="J18" i="1"/>
  <c r="J17" i="1"/>
  <c r="J19" i="1"/>
  <c r="I19" i="1"/>
  <c r="I18" i="1"/>
  <c r="I17" i="1"/>
  <c r="F18" i="1"/>
  <c r="F17" i="1"/>
  <c r="F19" i="1"/>
  <c r="E19" i="1"/>
  <c r="E18" i="1"/>
  <c r="E17" i="1"/>
  <c r="D19" i="1"/>
  <c r="D18" i="1"/>
  <c r="D17" i="1"/>
  <c r="C19" i="1"/>
  <c r="C18" i="1"/>
  <c r="C17" i="1"/>
  <c r="B82" i="1"/>
  <c r="K19" i="1"/>
  <c r="K18" i="1"/>
  <c r="K17" i="1"/>
  <c r="M18" i="1"/>
  <c r="M17" i="1"/>
  <c r="M19" i="1"/>
  <c r="M38" i="1"/>
  <c r="L38" i="1"/>
  <c r="K38" i="1"/>
  <c r="J38" i="1"/>
  <c r="I38" i="1"/>
  <c r="F38" i="1"/>
  <c r="E38" i="1"/>
  <c r="D38" i="1"/>
  <c r="C38" i="1"/>
  <c r="I64" i="1"/>
  <c r="J66" i="1"/>
  <c r="K66" i="1" s="1"/>
  <c r="L63" i="1"/>
  <c r="M63" i="1" s="1"/>
  <c r="L62" i="1"/>
  <c r="M62" i="1" s="1"/>
  <c r="B129" i="1" l="1"/>
  <c r="B130" i="1" s="1"/>
  <c r="B137" i="1" s="1"/>
  <c r="F39" i="1"/>
  <c r="J64" i="1"/>
  <c r="L66" i="1"/>
  <c r="M66" i="1" s="1"/>
  <c r="C39" i="1"/>
  <c r="E39" i="1"/>
  <c r="D39" i="1"/>
  <c r="C21" i="1"/>
  <c r="C23" i="1" s="1"/>
  <c r="D21" i="1"/>
  <c r="D23" i="1" s="1"/>
  <c r="E21" i="1"/>
  <c r="E23" i="1" s="1"/>
  <c r="F21" i="1"/>
  <c r="F23" i="1" s="1"/>
  <c r="I21" i="1"/>
  <c r="I23" i="1" s="1"/>
  <c r="J21" i="1"/>
  <c r="J23" i="1" s="1"/>
  <c r="K21" i="1"/>
  <c r="K23" i="1" s="1"/>
  <c r="L21" i="1"/>
  <c r="L23" i="1" s="1"/>
  <c r="M21" i="1"/>
  <c r="M23" i="1" s="1"/>
  <c r="D128" i="1" l="1"/>
  <c r="D131" i="1"/>
  <c r="C128" i="1"/>
  <c r="C131" i="1"/>
  <c r="F128" i="1"/>
  <c r="F131" i="1"/>
  <c r="E128" i="1"/>
  <c r="E131" i="1"/>
  <c r="F40" i="1"/>
  <c r="F82" i="1" s="1"/>
  <c r="C40" i="1"/>
  <c r="C82" i="1" s="1"/>
  <c r="B83" i="1"/>
  <c r="B138" i="1"/>
  <c r="B139" i="1"/>
  <c r="D40" i="1"/>
  <c r="D82" i="1" s="1"/>
  <c r="E40" i="1"/>
  <c r="E82" i="1" s="1"/>
  <c r="K64" i="1"/>
  <c r="C129" i="1" l="1"/>
  <c r="D129" i="1" s="1"/>
  <c r="E129" i="1" s="1"/>
  <c r="F129" i="1" s="1"/>
  <c r="B51" i="1"/>
  <c r="B46" i="1"/>
  <c r="L64" i="1"/>
  <c r="C130" i="1" l="1"/>
  <c r="C137" i="1" s="1"/>
  <c r="C139" i="1" s="1"/>
  <c r="C83" i="1"/>
  <c r="D83" i="1" s="1"/>
  <c r="M64" i="1"/>
  <c r="C138" i="1" l="1"/>
  <c r="C46" i="1" s="1"/>
  <c r="E83" i="1"/>
  <c r="F83" i="1" s="1"/>
  <c r="D130" i="1"/>
  <c r="D137" i="1" s="1"/>
  <c r="C51" i="1"/>
  <c r="G13" i="1"/>
  <c r="G19" i="1" l="1"/>
  <c r="G18" i="1"/>
  <c r="G17" i="1"/>
  <c r="G38" i="1"/>
  <c r="E130" i="1"/>
  <c r="E137" i="1" s="1"/>
  <c r="F130" i="1"/>
  <c r="F137" i="1" s="1"/>
  <c r="D138" i="1"/>
  <c r="D139" i="1"/>
  <c r="D46" i="1" l="1"/>
  <c r="D51" i="1"/>
  <c r="F139" i="1"/>
  <c r="F138" i="1"/>
  <c r="E138" i="1"/>
  <c r="E139" i="1"/>
  <c r="E51" i="1" s="1"/>
  <c r="H13" i="1"/>
  <c r="G21" i="1"/>
  <c r="G23" i="1" s="1"/>
  <c r="G39" i="1"/>
  <c r="G128" i="1" l="1"/>
  <c r="G131" i="1"/>
  <c r="H17" i="1"/>
  <c r="H19" i="1"/>
  <c r="H18" i="1"/>
  <c r="H38" i="1"/>
  <c r="F46" i="1"/>
  <c r="E46" i="1"/>
  <c r="F51" i="1"/>
  <c r="G40" i="1"/>
  <c r="G82" i="1" s="1"/>
  <c r="G129" i="1" l="1"/>
  <c r="G130" i="1" s="1"/>
  <c r="G137" i="1" s="1"/>
  <c r="J39" i="1"/>
  <c r="J131" i="1" s="1"/>
  <c r="M39" i="1"/>
  <c r="L39" i="1"/>
  <c r="L131" i="1" s="1"/>
  <c r="K39" i="1"/>
  <c r="K131" i="1" s="1"/>
  <c r="H39" i="1"/>
  <c r="I39" i="1"/>
  <c r="G83" i="1"/>
  <c r="H21" i="1"/>
  <c r="H23" i="1" s="1"/>
  <c r="M128" i="1" l="1"/>
  <c r="M131" i="1"/>
  <c r="H128" i="1"/>
  <c r="H131" i="1"/>
  <c r="I128" i="1"/>
  <c r="I131" i="1"/>
  <c r="K128" i="1"/>
  <c r="L128" i="1"/>
  <c r="J128" i="1"/>
  <c r="G139" i="1"/>
  <c r="G138" i="1"/>
  <c r="L40" i="1"/>
  <c r="L82" i="1" s="1"/>
  <c r="M40" i="1"/>
  <c r="M82" i="1" s="1"/>
  <c r="I40" i="1"/>
  <c r="I82" i="1" s="1"/>
  <c r="J40" i="1"/>
  <c r="J82" i="1" s="1"/>
  <c r="K40" i="1"/>
  <c r="K82" i="1" s="1"/>
  <c r="H40" i="1"/>
  <c r="H82" i="1" s="1"/>
  <c r="H129" i="1" l="1"/>
  <c r="I129" i="1" s="1"/>
  <c r="G46" i="1"/>
  <c r="G51" i="1"/>
  <c r="J129" i="1" l="1"/>
  <c r="K129" i="1" s="1"/>
  <c r="L129" i="1" s="1"/>
  <c r="M129" i="1" s="1"/>
  <c r="H83" i="1"/>
  <c r="I83" i="1" s="1"/>
  <c r="J83" i="1" s="1"/>
  <c r="K83" i="1" s="1"/>
  <c r="L83" i="1" s="1"/>
  <c r="M83" i="1" s="1"/>
  <c r="H130" i="1"/>
  <c r="H137" i="1" s="1"/>
  <c r="H138" i="1" l="1"/>
  <c r="H139" i="1"/>
  <c r="I130" i="1"/>
  <c r="I137" i="1" s="1"/>
  <c r="H51" i="1" l="1"/>
  <c r="H46" i="1"/>
  <c r="I139" i="1"/>
  <c r="I51" i="1" s="1"/>
  <c r="I138" i="1"/>
  <c r="J130" i="1"/>
  <c r="J137" i="1" s="1"/>
  <c r="I46" i="1" l="1"/>
  <c r="K130" i="1"/>
  <c r="K137" i="1" s="1"/>
  <c r="J138" i="1"/>
  <c r="J46" i="1" s="1"/>
  <c r="J139" i="1"/>
  <c r="J51" i="1" s="1"/>
  <c r="L130" i="1" l="1"/>
  <c r="L137" i="1" s="1"/>
  <c r="M130" i="1"/>
  <c r="M137" i="1" s="1"/>
  <c r="K139" i="1"/>
  <c r="K138" i="1"/>
  <c r="K46" i="1" s="1"/>
  <c r="K51" i="1" l="1"/>
  <c r="M138" i="1"/>
  <c r="M139" i="1"/>
  <c r="L139" i="1"/>
  <c r="L51" i="1" s="1"/>
  <c r="L138" i="1"/>
  <c r="L46" i="1" s="1"/>
  <c r="M46" i="1" l="1"/>
  <c r="M51" i="1"/>
  <c r="B53" i="1"/>
  <c r="B54" i="1" s="1"/>
  <c r="B60" i="1" l="1"/>
  <c r="B58" i="1"/>
  <c r="B59" i="1"/>
  <c r="B56" i="1"/>
  <c r="C53" i="1"/>
  <c r="C54" i="1" s="1"/>
  <c r="C60" i="1" l="1"/>
  <c r="C58" i="1"/>
  <c r="C59" i="1"/>
  <c r="B68" i="1"/>
  <c r="B69" i="1" s="1"/>
  <c r="B70" i="1" s="1"/>
  <c r="C56" i="1"/>
  <c r="C68" i="1" l="1"/>
  <c r="C69" i="1" s="1"/>
  <c r="C70" i="1" s="1"/>
  <c r="B71" i="1"/>
  <c r="B123" i="1"/>
  <c r="B72" i="1" s="1"/>
  <c r="B73" i="1" l="1"/>
  <c r="C123" i="1"/>
  <c r="B124" i="1" l="1"/>
  <c r="B125" i="1"/>
  <c r="C72" i="1"/>
  <c r="C71" i="1"/>
  <c r="B126" i="1" l="1"/>
  <c r="B80" i="1" s="1"/>
  <c r="C73" i="1"/>
  <c r="D53" i="1"/>
  <c r="D54" i="1" s="1"/>
  <c r="D60" i="1" l="1"/>
  <c r="D58" i="1"/>
  <c r="D59" i="1"/>
  <c r="B81" i="1"/>
  <c r="D56" i="1"/>
  <c r="C124" i="1" l="1"/>
  <c r="C125" i="1"/>
  <c r="B84" i="1"/>
  <c r="B89" i="1" s="1"/>
  <c r="D2" i="2" s="1"/>
  <c r="D3" i="2" s="1"/>
  <c r="D4" i="2" s="1"/>
  <c r="B90" i="1" s="1"/>
  <c r="B91" i="1" s="1"/>
  <c r="D68" i="1"/>
  <c r="D69" i="1" s="1"/>
  <c r="D70" i="1" s="1"/>
  <c r="C126" i="1" l="1"/>
  <c r="C80" i="1" s="1"/>
  <c r="C81" i="1" s="1"/>
  <c r="D123" i="1"/>
  <c r="C84" i="1" l="1"/>
  <c r="C89" i="1" s="1"/>
  <c r="E2" i="2" s="1"/>
  <c r="E3" i="2" s="1"/>
  <c r="E4" i="2" s="1"/>
  <c r="C90" i="1" s="1"/>
  <c r="C91" i="1" s="1"/>
  <c r="D71" i="1"/>
  <c r="D72" i="1"/>
  <c r="D73" i="1" l="1"/>
  <c r="E53" i="1"/>
  <c r="E54" i="1" s="1"/>
  <c r="D125" i="1" l="1"/>
  <c r="D124" i="1"/>
  <c r="E59" i="1"/>
  <c r="E58" i="1"/>
  <c r="E60" i="1"/>
  <c r="E56" i="1"/>
  <c r="D126" i="1" l="1"/>
  <c r="D80" i="1" s="1"/>
  <c r="D81" i="1" s="1"/>
  <c r="E68" i="1"/>
  <c r="E69" i="1" s="1"/>
  <c r="E70" i="1" s="1"/>
  <c r="D84" i="1" l="1"/>
  <c r="E123" i="1"/>
  <c r="D89" i="1" l="1"/>
  <c r="F2" i="2" s="1"/>
  <c r="F3" i="2" s="1"/>
  <c r="F4" i="2" s="1"/>
  <c r="D90" i="1" s="1"/>
  <c r="D91" i="1" s="1"/>
  <c r="E72" i="1"/>
  <c r="E71" i="1"/>
  <c r="E73" i="1" l="1"/>
  <c r="F53" i="1"/>
  <c r="F54" i="1" s="1"/>
  <c r="G55" i="1" s="1"/>
  <c r="E125" i="1" l="1"/>
  <c r="E124" i="1"/>
  <c r="F60" i="1"/>
  <c r="F59" i="1"/>
  <c r="F58" i="1"/>
  <c r="E126" i="1" l="1"/>
  <c r="G60" i="1"/>
  <c r="G59" i="1"/>
  <c r="G58" i="1"/>
  <c r="F56" i="1"/>
  <c r="E80" i="1" l="1"/>
  <c r="E81" i="1" s="1"/>
  <c r="F68" i="1"/>
  <c r="F69" i="1" s="1"/>
  <c r="F70" i="1" s="1"/>
  <c r="F123" i="1" l="1"/>
  <c r="F71" i="1" s="1"/>
  <c r="F72" i="1" l="1"/>
  <c r="F73" i="1" s="1"/>
  <c r="G53" i="1"/>
  <c r="F125" i="1" l="1"/>
  <c r="F124" i="1"/>
  <c r="G56" i="1"/>
  <c r="F126" i="1" l="1"/>
  <c r="F80" i="1" s="1"/>
  <c r="G68" i="1"/>
  <c r="G69" i="1" s="1"/>
  <c r="G70" i="1" s="1"/>
  <c r="G123" i="1" l="1"/>
  <c r="G72" i="1" s="1"/>
  <c r="G71" i="1" l="1"/>
  <c r="G73" i="1" s="1"/>
  <c r="H53" i="1"/>
  <c r="H54" i="1" s="1"/>
  <c r="H58" i="1" l="1"/>
  <c r="H60" i="1"/>
  <c r="H59" i="1"/>
  <c r="H56" i="1"/>
  <c r="H68" i="1" l="1"/>
  <c r="H69" i="1" s="1"/>
  <c r="H70" i="1" s="1"/>
  <c r="H123" i="1" l="1"/>
  <c r="H72" i="1" s="1"/>
  <c r="I53" i="1"/>
  <c r="I54" i="1" s="1"/>
  <c r="H71" i="1" l="1"/>
  <c r="H73" i="1" s="1"/>
  <c r="I59" i="1"/>
  <c r="I58" i="1"/>
  <c r="I60" i="1"/>
  <c r="I56" i="1"/>
  <c r="I68" i="1" l="1"/>
  <c r="I69" i="1" s="1"/>
  <c r="I70" i="1" s="1"/>
  <c r="I123" i="1" l="1"/>
  <c r="I71" i="1" l="1"/>
  <c r="I72" i="1"/>
  <c r="I73" i="1" l="1"/>
  <c r="J53" i="1" l="1"/>
  <c r="J54" i="1" s="1"/>
  <c r="J59" i="1" l="1"/>
  <c r="J58" i="1"/>
  <c r="J60" i="1"/>
  <c r="J56" i="1"/>
  <c r="J68" i="1" l="1"/>
  <c r="J69" i="1" s="1"/>
  <c r="J70" i="1" s="1"/>
  <c r="J123" i="1" l="1"/>
  <c r="J71" i="1" l="1"/>
  <c r="J72" i="1"/>
  <c r="J73" i="1" l="1"/>
  <c r="K53" i="1" l="1"/>
  <c r="K54" i="1" s="1"/>
  <c r="K60" i="1" l="1"/>
  <c r="K59" i="1"/>
  <c r="K58" i="1"/>
  <c r="K56" i="1"/>
  <c r="K68" i="1" l="1"/>
  <c r="K69" i="1" s="1"/>
  <c r="K70" i="1" s="1"/>
  <c r="K123" i="1" l="1"/>
  <c r="K71" i="1" l="1"/>
  <c r="K72" i="1"/>
  <c r="K73" i="1" l="1"/>
  <c r="L53" i="1" l="1"/>
  <c r="L54" i="1" s="1"/>
  <c r="M55" i="1" s="1"/>
  <c r="L58" i="1" l="1"/>
  <c r="L59" i="1"/>
  <c r="L60" i="1"/>
  <c r="M59" i="1"/>
  <c r="M58" i="1"/>
  <c r="M60" i="1"/>
  <c r="L56" i="1"/>
  <c r="L68" i="1" l="1"/>
  <c r="L69" i="1" s="1"/>
  <c r="L70" i="1" s="1"/>
  <c r="L123" i="1" l="1"/>
  <c r="L71" i="1" s="1"/>
  <c r="L72" i="1" l="1"/>
  <c r="L73" i="1" s="1"/>
  <c r="M53" i="1" l="1"/>
  <c r="M56" i="1" s="1"/>
  <c r="M68" i="1"/>
  <c r="M69" i="1" l="1"/>
  <c r="M70" i="1" s="1"/>
  <c r="M123" i="1" l="1"/>
  <c r="M71" i="1" l="1"/>
  <c r="M72" i="1"/>
  <c r="M73" i="1" l="1"/>
  <c r="E84" i="1" l="1"/>
  <c r="E89" i="1" l="1"/>
  <c r="G2" i="2" s="1"/>
  <c r="G3" i="2" s="1"/>
  <c r="G4" i="2" s="1"/>
  <c r="E90" i="1" s="1"/>
  <c r="E91" i="1" s="1"/>
  <c r="F81" i="1"/>
  <c r="G124" i="1" s="1"/>
  <c r="F84" i="1" l="1"/>
  <c r="F89" i="1" s="1"/>
  <c r="H2" i="2" s="1"/>
  <c r="H3" i="2" s="1"/>
  <c r="H4" i="2" s="1"/>
  <c r="F90" i="1" s="1"/>
  <c r="F91" i="1" s="1"/>
  <c r="G125" i="1"/>
  <c r="G126" i="1" l="1"/>
  <c r="G80" i="1" l="1"/>
  <c r="G81" i="1" s="1"/>
  <c r="H124" i="1" l="1"/>
  <c r="G84" i="1"/>
  <c r="G89" i="1" s="1"/>
  <c r="I2" i="2" s="1"/>
  <c r="I3" i="2" s="1"/>
  <c r="I4" i="2" s="1"/>
  <c r="G90" i="1" s="1"/>
  <c r="G91" i="1" s="1"/>
  <c r="H125" i="1"/>
  <c r="H126" i="1" l="1"/>
  <c r="H80" i="1" l="1"/>
  <c r="H81" i="1" s="1"/>
  <c r="H84" i="1" l="1"/>
  <c r="H89" i="1" s="1"/>
  <c r="J2" i="2" s="1"/>
  <c r="J3" i="2" s="1"/>
  <c r="J4" i="2" s="1"/>
  <c r="H90" i="1" s="1"/>
  <c r="H91" i="1" s="1"/>
  <c r="I125" i="1"/>
  <c r="I124" i="1"/>
  <c r="I126" i="1" s="1"/>
  <c r="I80" i="1" s="1"/>
  <c r="I81" i="1" s="1"/>
  <c r="J125" i="1" s="1"/>
  <c r="J124" i="1" l="1"/>
  <c r="J126" i="1" s="1"/>
  <c r="J80" i="1" s="1"/>
  <c r="J81" i="1" s="1"/>
  <c r="J84" i="1" s="1"/>
  <c r="J89" i="1" s="1"/>
  <c r="L2" i="2" s="1"/>
  <c r="L3" i="2" s="1"/>
  <c r="L4" i="2" s="1"/>
  <c r="J90" i="1" s="1"/>
  <c r="I84" i="1"/>
  <c r="I89" i="1" s="1"/>
  <c r="K2" i="2" s="1"/>
  <c r="K3" i="2" s="1"/>
  <c r="K4" i="2" s="1"/>
  <c r="I90" i="1" s="1"/>
  <c r="I91" i="1" s="1"/>
  <c r="J91" i="1" l="1"/>
  <c r="K125" i="1"/>
  <c r="K124" i="1"/>
  <c r="K126" i="1" l="1"/>
  <c r="K80" i="1" s="1"/>
  <c r="K81" i="1" s="1"/>
  <c r="L124" i="1" s="1"/>
  <c r="L125" i="1" l="1"/>
  <c r="L126" i="1" s="1"/>
  <c r="L80" i="1" s="1"/>
  <c r="L81" i="1" s="1"/>
  <c r="M124" i="1" s="1"/>
  <c r="K84" i="1"/>
  <c r="K89" i="1" s="1"/>
  <c r="M2" i="2" s="1"/>
  <c r="M3" i="2" s="1"/>
  <c r="M4" i="2" s="1"/>
  <c r="K90" i="1" s="1"/>
  <c r="K91" i="1" s="1"/>
  <c r="M125" i="1" l="1"/>
  <c r="M126" i="1" s="1"/>
  <c r="M80" i="1" s="1"/>
  <c r="M81" i="1" s="1"/>
  <c r="M84" i="1" s="1"/>
  <c r="M89" i="1" s="1"/>
  <c r="O2" i="2" s="1"/>
  <c r="O3" i="2" s="1"/>
  <c r="O4" i="2" s="1"/>
  <c r="M90" i="1" s="1"/>
  <c r="L84" i="1"/>
  <c r="L89" i="1" s="1"/>
  <c r="N2" i="2" s="1"/>
  <c r="N3" i="2" s="1"/>
  <c r="N4" i="2" s="1"/>
  <c r="L90" i="1" s="1"/>
  <c r="L91" i="1" s="1"/>
  <c r="M91" i="1" l="1"/>
</calcChain>
</file>

<file path=xl/sharedStrings.xml><?xml version="1.0" encoding="utf-8"?>
<sst xmlns="http://schemas.openxmlformats.org/spreadsheetml/2006/main" count="238" uniqueCount="147">
  <si>
    <t>LIQUIDACIÓN  SUELDO MENSUAL</t>
  </si>
  <si>
    <t>Conceptos Liquidados por el agente de retención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</si>
  <si>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</si>
  <si>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</si>
  <si>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</si>
  <si>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</si>
  <si>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</si>
  <si>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</si>
  <si>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</si>
  <si>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</si>
  <si>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</si>
  <si>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</si>
  <si>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</si>
  <si>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</si>
  <si>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 bruto</t>
  </si>
  <si>
    <t>Antigüedad</t>
  </si>
  <si>
    <t>Horas Extras Gravadas</t>
  </si>
  <si>
    <t xml:space="preserve">Horas Extras (diferencia exenta HS Extra - HS Comunes) </t>
  </si>
  <si>
    <t>Comisiones</t>
  </si>
  <si>
    <t>Plus Vacacional</t>
  </si>
  <si>
    <t>SAC</t>
  </si>
  <si>
    <t>Total conceptos remunerativos</t>
  </si>
  <si>
    <t xml:space="preserve">Conceptos no remunerativos habituales </t>
  </si>
  <si>
    <t xml:space="preserve">Conceptos no remunerativos no habituales </t>
  </si>
  <si>
    <t>Total conceptos no remunerativos</t>
  </si>
  <si>
    <t>Jubilación 11%</t>
  </si>
  <si>
    <t>Obra Social 3%</t>
  </si>
  <si>
    <t>Ley 19.032 3%</t>
  </si>
  <si>
    <t>Sindicato</t>
  </si>
  <si>
    <t>Total descuentos</t>
  </si>
  <si>
    <t>Remuneración Neta Mensual</t>
  </si>
  <si>
    <t>LIQUIDACION IMPUESTO A LAS GANANCIAS</t>
  </si>
  <si>
    <t>Pluriempleo (otros empleos)</t>
  </si>
  <si>
    <t xml:space="preserve">Retribuciones habituales no remunerativas </t>
  </si>
  <si>
    <t xml:space="preserve">Otras retribuciones no habituales remunerativas </t>
  </si>
  <si>
    <t xml:space="preserve">Retribuciones no habituales no remunerativas </t>
  </si>
  <si>
    <t>Conceptos Exentos</t>
  </si>
  <si>
    <t>Deducciones</t>
  </si>
  <si>
    <t xml:space="preserve">Remuneración Bruta Mensual </t>
  </si>
  <si>
    <t xml:space="preserve">Promedio de Remuneracion Bruta Mensual </t>
  </si>
  <si>
    <t>Pauta para aplicación de la DEA</t>
  </si>
  <si>
    <t>Ganancia Bruta</t>
  </si>
  <si>
    <t>Agente de Retención</t>
  </si>
  <si>
    <t xml:space="preserve">Retribuciones habituales remunerativas </t>
  </si>
  <si>
    <t xml:space="preserve">Retribuciones no habituales remunerativas </t>
  </si>
  <si>
    <t>Pluriempleo</t>
  </si>
  <si>
    <t>Subtotal Ganancia Bruta</t>
  </si>
  <si>
    <t>SAC Proporcional Bruto</t>
  </si>
  <si>
    <t>Ajuste SAC Semestral Bruto Real</t>
  </si>
  <si>
    <t>Total Ganancia Bruta</t>
  </si>
  <si>
    <t>Deducciones Generales</t>
  </si>
  <si>
    <t xml:space="preserve">Intereses de préstamos hipotecarios </t>
  </si>
  <si>
    <t>Alquiler de la casa habitación  (40% hasta el Tope MNI)</t>
  </si>
  <si>
    <t>Personal de casas particulares (Tope MNI)</t>
  </si>
  <si>
    <t>Viáticos corta y media distancia (Tope 40% MNI)</t>
  </si>
  <si>
    <t>Viáticos larga distancia (Tope MNI)</t>
  </si>
  <si>
    <t>Equipamiento e Indumentaria</t>
  </si>
  <si>
    <t>Subtotal deducciones generales</t>
  </si>
  <si>
    <t>Medicina Prepaga (Tope 5% GNSI)</t>
  </si>
  <si>
    <t>Donaciones  (Tope 5% GNSI)</t>
  </si>
  <si>
    <t>Total medicina prepaga y donaciones</t>
  </si>
  <si>
    <t>Deducciones Personales</t>
  </si>
  <si>
    <t>Mínimo no Imponible</t>
  </si>
  <si>
    <t>Cónyuge</t>
  </si>
  <si>
    <t>Hijos</t>
  </si>
  <si>
    <t>Hijos Incapacitados para el trabajo</t>
  </si>
  <si>
    <t xml:space="preserve">Deducción Especial Incrementada </t>
  </si>
  <si>
    <t>Deducción Especial Adicional (DEA) 1° Parte Mensual</t>
  </si>
  <si>
    <t>Deducción Especial Adicional (DEA) 1° Parte Acumulada</t>
  </si>
  <si>
    <t>Deducción Especial Adicional (DEA) 2° Parte Mensual</t>
  </si>
  <si>
    <t>Deducción Especial Adicional (DEA) 2° Parte Acumulada</t>
  </si>
  <si>
    <t>Total deducciones personales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</si>
  <si>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</si>
  <si>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</si>
  <si>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</si>
  <si>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</si>
  <si>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</si>
  <si>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</si>
  <si>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</si>
  <si>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</si>
  <si>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</si>
  <si>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</si>
  <si>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</si>
  <si>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</si>
  <si>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</si>
  <si>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Ganancia Neta Sujeta a Impuesto</t>
  </si>
  <si>
    <t>Retención Acumulada</t>
  </si>
  <si>
    <t xml:space="preserve">Retención Mensual </t>
  </si>
  <si>
    <t>Datos declarados por el trabajador (F572 WEB)</t>
  </si>
  <si>
    <t>Cargas de familia</t>
  </si>
  <si>
    <t>Intereses de préstamos hipotecarios (Valor declarado)</t>
  </si>
  <si>
    <t>Alquiler de la casa habitación</t>
  </si>
  <si>
    <t>Alquiler de la casa habitación 40%</t>
  </si>
  <si>
    <t>Personal de casas particulares  (Valor declarado)</t>
  </si>
  <si>
    <t xml:space="preserve">Viáticos corta y media Distancia  </t>
  </si>
  <si>
    <t>Viáticos corta y media Distancia 40% MNI</t>
  </si>
  <si>
    <t xml:space="preserve">Viáticos larga distancia  </t>
  </si>
  <si>
    <t>Medicina Prepaga</t>
  </si>
  <si>
    <t>Donaciones</t>
  </si>
  <si>
    <t>Gastos Médicos</t>
  </si>
  <si>
    <t>Seguros</t>
  </si>
  <si>
    <t xml:space="preserve">Ganancia Neta antes de prepaga y donaciones  5% </t>
  </si>
  <si>
    <t>Base imponible</t>
  </si>
  <si>
    <t>Tramo sin horas extras</t>
  </si>
  <si>
    <t>Impuesto Determinado</t>
  </si>
  <si>
    <t>Tramos de escala (art. 94)</t>
  </si>
  <si>
    <t>Importes acumulados</t>
  </si>
  <si>
    <t>Mes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</si>
  <si>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</si>
  <si>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</si>
  <si>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</si>
  <si>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</si>
  <si>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</si>
  <si>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</si>
  <si>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</si>
  <si>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</si>
  <si>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Setiembre</t>
  </si>
  <si>
    <t>Sueldo bruto 
mensual o
promedio</t>
  </si>
  <si>
    <t>Deducción</t>
  </si>
  <si>
    <t xml:space="preserve">Otros conceptos no habituales remunerativos  </t>
  </si>
  <si>
    <t>1- Bono Productividad alcanzado por la exención parcial</t>
  </si>
  <si>
    <t>Parte EXENTA</t>
  </si>
  <si>
    <t>Parte GRAVADA</t>
  </si>
  <si>
    <t>2- Bono Productividad gravado en su totalidad</t>
  </si>
  <si>
    <t>Total Bono Productividad GRAVADO</t>
  </si>
  <si>
    <t xml:space="preserve">Total Bono Productividad Agente Retención </t>
  </si>
  <si>
    <t>Total Bono Productividad Pluriempleo</t>
  </si>
  <si>
    <t xml:space="preserve">Total Bono Productividad </t>
  </si>
  <si>
    <t>Proporcionalidad Bono Productividad Agente Retención</t>
  </si>
  <si>
    <t>Proporcionalidad Bono Productividad  Pluriempleo</t>
  </si>
  <si>
    <t>Bono Productividad Gravado Agente de retención</t>
  </si>
  <si>
    <t>Bono Productividad Gravado Pluriempleo</t>
  </si>
  <si>
    <t>Supuesto empleado: siempre el bono de productividad es remunerativo</t>
  </si>
  <si>
    <t>Bono Productividad</t>
  </si>
  <si>
    <t>Ganancia Neta Sujeta a Impuesto (antes DEA del mes)</t>
  </si>
  <si>
    <r>
      <t xml:space="preserve">Retribuciones habituales remunerativas </t>
    </r>
    <r>
      <rPr>
        <sz val="11"/>
        <color theme="1"/>
        <rFont val="Calibri"/>
        <family val="2"/>
        <scheme val="minor"/>
      </rPr>
      <t>sin horas extras</t>
    </r>
  </si>
  <si>
    <t>Deducciones por recibo de haberes:</t>
  </si>
  <si>
    <t xml:space="preserve">Jubilación </t>
  </si>
  <si>
    <t xml:space="preserve">Obra Social </t>
  </si>
  <si>
    <t>Ley 19.032</t>
  </si>
  <si>
    <t>En % (completar)</t>
  </si>
  <si>
    <t>Supuesto: mes devengado = mes cobrado</t>
  </si>
  <si>
    <t>Período Fiscal 2022</t>
  </si>
  <si>
    <t>Ganancia Neta Mensual (antes de m. prepaga y donac.)</t>
  </si>
  <si>
    <t>Ganancia Neta Acumulada (antes de m. prepaga y donac.)</t>
  </si>
  <si>
    <t>Ganancia del mes a considerar</t>
  </si>
  <si>
    <t>Tomar el menor entre 124 Y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</si>
</sst>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E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" fontId="1" fillId="2" borderId="1" xfId="0" applyNumberFormat="1" applyFont="1" applyFill="1" applyBorder="1" applyAlignment="1" applyProtection="1">
      <alignment horizontal="center"/>
    </xf>
    <xf numFmtId="0" fontId="2" fillId="0" borderId="0" xfId="0" applyFont="1" applyProtection="1"/>
    <xf numFmtId="4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Protection="1"/>
    <xf numFmtId="4" fontId="2" fillId="0" borderId="0" xfId="0" applyNumberFormat="1" applyFont="1" applyAlignment="1" applyProtection="1">
      <alignment horizontal="center"/>
    </xf>
    <xf numFmtId="0" fontId="5" fillId="6" borderId="1" xfId="0" applyFont="1" applyFill="1" applyBorder="1" applyAlignment="1" applyProtection="1">
      <alignment horizontal="left"/>
    </xf>
    <xf numFmtId="0" fontId="2" fillId="6" borderId="1" xfId="0" applyFont="1" applyFill="1" applyBorder="1" applyProtection="1"/>
    <xf numFmtId="0" fontId="0" fillId="0" borderId="1" xfId="0" applyFont="1" applyFill="1" applyBorder="1" applyProtection="1"/>
    <xf numFmtId="4" fontId="2" fillId="0" borderId="0" xfId="0" applyNumberFormat="1" applyFont="1" applyProtection="1"/>
    <xf numFmtId="4" fontId="2" fillId="0" borderId="0" xfId="0" applyNumberFormat="1" applyFont="1" applyFill="1" applyBorder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Protection="1"/>
    <xf numFmtId="0" fontId="11" fillId="0" borderId="0" xfId="0" applyFont="1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5" fillId="3" borderId="1" xfId="0" applyFont="1" applyFill="1" applyBorder="1" applyProtection="1"/>
    <xf numFmtId="0" fontId="1" fillId="2" borderId="22" xfId="0" applyFont="1" applyFill="1" applyBorder="1" applyProtection="1"/>
    <xf numFmtId="0" fontId="1" fillId="2" borderId="23" xfId="0" applyFont="1" applyFill="1" applyBorder="1" applyProtection="1"/>
    <xf numFmtId="0" fontId="1" fillId="2" borderId="26" xfId="0" applyFont="1" applyFill="1" applyBorder="1" applyProtection="1"/>
    <xf numFmtId="0" fontId="5" fillId="0" borderId="0" xfId="0" applyFont="1" applyFill="1" applyProtection="1"/>
    <xf numFmtId="0" fontId="4" fillId="0" borderId="1" xfId="0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12" fillId="0" borderId="1" xfId="0" applyFont="1" applyBorder="1" applyProtection="1"/>
    <xf numFmtId="0" fontId="0" fillId="0" borderId="1" xfId="0" applyFont="1" applyBorder="1" applyProtection="1"/>
    <xf numFmtId="0" fontId="1" fillId="7" borderId="1" xfId="0" applyFont="1" applyFill="1" applyBorder="1" applyProtection="1"/>
    <xf numFmtId="0" fontId="1" fillId="5" borderId="1" xfId="0" applyFont="1" applyFill="1" applyBorder="1" applyProtection="1"/>
    <xf numFmtId="0" fontId="1" fillId="2" borderId="1" xfId="0" applyFont="1" applyFill="1" applyBorder="1" applyProtection="1"/>
    <xf numFmtId="0" fontId="1" fillId="8" borderId="1" xfId="0" applyFont="1" applyFill="1" applyBorder="1" applyProtection="1"/>
    <xf numFmtId="0" fontId="0" fillId="0" borderId="1" xfId="0" applyBorder="1" applyAlignment="1" applyProtection="1">
      <alignment horizontal="left"/>
    </xf>
    <xf numFmtId="4" fontId="1" fillId="7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0" fillId="0" borderId="27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Protection="1"/>
    <xf numFmtId="0" fontId="4" fillId="0" borderId="0" xfId="0" applyFont="1" applyBorder="1" applyProtection="1"/>
    <xf numFmtId="4" fontId="5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Border="1" applyProtection="1"/>
    <xf numFmtId="4" fontId="4" fillId="0" borderId="0" xfId="0" applyNumberFormat="1" applyFont="1" applyFill="1" applyBorder="1" applyProtection="1"/>
    <xf numFmtId="0" fontId="0" fillId="10" borderId="27" xfId="0" applyFont="1" applyFill="1" applyBorder="1" applyProtection="1"/>
    <xf numFmtId="4" fontId="0" fillId="10" borderId="1" xfId="0" applyNumberFormat="1" applyFill="1" applyBorder="1" applyProtection="1"/>
    <xf numFmtId="0" fontId="0" fillId="11" borderId="1" xfId="0" applyFont="1" applyFill="1" applyBorder="1" applyProtection="1"/>
    <xf numFmtId="4" fontId="0" fillId="11" borderId="1" xfId="0" applyNumberFormat="1" applyFill="1" applyBorder="1" applyProtection="1"/>
    <xf numFmtId="0" fontId="1" fillId="2" borderId="1" xfId="0" applyFont="1" applyFill="1" applyBorder="1" applyAlignment="1" applyProtection="1">
      <alignment horizontal="left"/>
    </xf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Protection="1"/>
    <xf numFmtId="0" fontId="1" fillId="0" borderId="0" xfId="0" applyFont="1" applyFill="1" applyBorder="1" applyProtection="1"/>
    <xf numFmtId="4" fontId="1" fillId="0" borderId="0" xfId="0" applyNumberFormat="1" applyFont="1" applyFill="1" applyBorder="1" applyProtection="1"/>
    <xf numFmtId="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4" fontId="5" fillId="3" borderId="1" xfId="0" applyNumberFormat="1" applyFont="1" applyFill="1" applyBorder="1" applyProtection="1"/>
    <xf numFmtId="0" fontId="5" fillId="9" borderId="1" xfId="0" applyFont="1" applyFill="1" applyBorder="1" applyProtection="1"/>
    <xf numFmtId="0" fontId="4" fillId="0" borderId="27" xfId="0" applyFont="1" applyFill="1" applyBorder="1" applyProtection="1"/>
    <xf numFmtId="0" fontId="4" fillId="0" borderId="1" xfId="0" applyFont="1" applyFill="1" applyBorder="1" applyProtection="1"/>
    <xf numFmtId="0" fontId="0" fillId="0" borderId="1" xfId="0" applyFill="1" applyBorder="1" applyProtection="1"/>
    <xf numFmtId="0" fontId="5" fillId="12" borderId="1" xfId="0" applyFont="1" applyFill="1" applyBorder="1" applyAlignment="1" applyProtection="1">
      <alignment horizontal="left"/>
    </xf>
    <xf numFmtId="0" fontId="2" fillId="12" borderId="1" xfId="0" applyFont="1" applyFill="1" applyBorder="1" applyProtection="1"/>
    <xf numFmtId="0" fontId="5" fillId="12" borderId="1" xfId="0" applyFont="1" applyFill="1" applyBorder="1" applyProtection="1"/>
    <xf numFmtId="0" fontId="0" fillId="0" borderId="1" xfId="0" applyBorder="1"/>
    <xf numFmtId="0" fontId="5" fillId="13" borderId="1" xfId="0" applyFont="1" applyFill="1" applyBorder="1" applyProtection="1"/>
    <xf numFmtId="4" fontId="5" fillId="13" borderId="1" xfId="0" applyNumberFormat="1" applyFont="1" applyFill="1" applyBorder="1" applyProtection="1"/>
    <xf numFmtId="0" fontId="0" fillId="11" borderId="1" xfId="0" applyFill="1" applyBorder="1"/>
    <xf numFmtId="4" fontId="0" fillId="11" borderId="1" xfId="0" applyNumberFormat="1" applyFill="1" applyBorder="1"/>
    <xf numFmtId="0" fontId="2" fillId="12" borderId="1" xfId="0" applyFont="1" applyFill="1" applyBorder="1"/>
    <xf numFmtId="0" fontId="1" fillId="5" borderId="1" xfId="0" applyFont="1" applyFill="1" applyBorder="1" applyAlignment="1" applyProtection="1">
      <alignment horizontal="left"/>
    </xf>
    <xf numFmtId="0" fontId="5" fillId="13" borderId="1" xfId="0" applyFont="1" applyFill="1" applyBorder="1"/>
    <xf numFmtId="0" fontId="0" fillId="0" borderId="1" xfId="0" applyFill="1" applyBorder="1"/>
    <xf numFmtId="0" fontId="2" fillId="0" borderId="0" xfId="0" applyFont="1" applyFill="1" applyAlignment="1" applyProtection="1">
      <alignment horizontal="center"/>
    </xf>
    <xf numFmtId="0" fontId="10" fillId="3" borderId="27" xfId="0" applyFont="1" applyFill="1" applyBorder="1" applyAlignment="1">
      <alignment horizontal="center" vertical="center" wrapText="1"/>
    </xf>
    <xf numFmtId="3" fontId="0" fillId="0" borderId="27" xfId="0" applyNumberFormat="1" applyBorder="1"/>
    <xf numFmtId="0" fontId="10" fillId="3" borderId="28" xfId="0" applyFont="1" applyFill="1" applyBorder="1" applyAlignment="1">
      <alignment horizontal="center" vertical="center" wrapText="1"/>
    </xf>
    <xf numFmtId="3" fontId="0" fillId="0" borderId="28" xfId="0" applyNumberFormat="1" applyBorder="1"/>
    <xf numFmtId="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4" fontId="2" fillId="0" borderId="0" xfId="0" applyNumberFormat="1" applyFont="1" applyFill="1"/>
    <xf numFmtId="0" fontId="4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5" fillId="15" borderId="1" xfId="0" applyFont="1" applyFill="1" applyBorder="1" applyProtection="1"/>
    <xf numFmtId="0" fontId="2" fillId="0" borderId="1" xfId="0" applyFont="1" applyFill="1" applyBorder="1"/>
    <xf numFmtId="4" fontId="2" fillId="0" borderId="1" xfId="0" applyNumberFormat="1" applyFont="1" applyFill="1" applyBorder="1"/>
    <xf numFmtId="0" fontId="0" fillId="0" borderId="1" xfId="0" applyFont="1" applyFill="1" applyBorder="1"/>
    <xf numFmtId="4" fontId="0" fillId="0" borderId="0" xfId="0" applyNumberFormat="1" applyFont="1" applyFill="1"/>
    <xf numFmtId="43" fontId="0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" fontId="0" fillId="0" borderId="1" xfId="0" applyNumberFormat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14" borderId="1" xfId="0" applyNumberFormat="1" applyFont="1" applyFill="1" applyBorder="1" applyProtection="1">
      <protection hidden="1"/>
    </xf>
    <xf numFmtId="4" fontId="4" fillId="0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Alignment="1" applyProtection="1">
      <alignment horizontal="right"/>
      <protection hidden="1"/>
    </xf>
    <xf numFmtId="4" fontId="2" fillId="6" borderId="1" xfId="0" applyNumberFormat="1" applyFont="1" applyFill="1" applyBorder="1" applyProtection="1">
      <protection hidden="1"/>
    </xf>
    <xf numFmtId="4" fontId="0" fillId="0" borderId="1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4" fontId="2" fillId="4" borderId="0" xfId="0" applyNumberFormat="1" applyFont="1" applyFill="1" applyBorder="1" applyProtection="1">
      <protection hidden="1"/>
    </xf>
    <xf numFmtId="4" fontId="1" fillId="8" borderId="1" xfId="0" applyNumberFormat="1" applyFont="1" applyFill="1" applyBorder="1" applyProtection="1">
      <protection hidden="1"/>
    </xf>
    <xf numFmtId="4" fontId="5" fillId="0" borderId="0" xfId="0" applyNumberFormat="1" applyFont="1" applyFill="1" applyProtection="1">
      <protection hidden="1"/>
    </xf>
    <xf numFmtId="4" fontId="1" fillId="5" borderId="1" xfId="0" applyNumberFormat="1" applyFont="1" applyFill="1" applyBorder="1" applyAlignment="1" applyProtection="1">
      <alignment horizontal="center"/>
      <protection hidden="1"/>
    </xf>
    <xf numFmtId="4" fontId="2" fillId="0" borderId="0" xfId="0" applyNumberFormat="1" applyFont="1" applyProtection="1">
      <protection hidden="1"/>
    </xf>
    <xf numFmtId="4" fontId="5" fillId="3" borderId="1" xfId="0" applyNumberFormat="1" applyFont="1" applyFill="1" applyBorder="1" applyProtection="1">
      <protection hidden="1"/>
    </xf>
    <xf numFmtId="4" fontId="1" fillId="7" borderId="1" xfId="0" applyNumberFormat="1" applyFont="1" applyFill="1" applyBorder="1" applyProtection="1">
      <protection hidden="1"/>
    </xf>
    <xf numFmtId="4" fontId="0" fillId="12" borderId="1" xfId="0" applyNumberFormat="1" applyFill="1" applyBorder="1" applyProtection="1">
      <protection hidden="1"/>
    </xf>
    <xf numFmtId="4" fontId="0" fillId="0" borderId="1" xfId="0" applyNumberFormat="1" applyFont="1" applyFill="1" applyBorder="1" applyProtection="1">
      <protection hidden="1"/>
    </xf>
    <xf numFmtId="4" fontId="4" fillId="12" borderId="1" xfId="0" applyNumberFormat="1" applyFont="1" applyFill="1" applyBorder="1" applyProtection="1">
      <protection hidden="1"/>
    </xf>
    <xf numFmtId="4" fontId="5" fillId="6" borderId="1" xfId="0" applyNumberFormat="1" applyFont="1" applyFill="1" applyBorder="1" applyProtection="1">
      <protection hidden="1"/>
    </xf>
    <xf numFmtId="4" fontId="14" fillId="14" borderId="1" xfId="0" applyNumberFormat="1" applyFont="1" applyFill="1" applyBorder="1" applyProtection="1">
      <protection hidden="1"/>
    </xf>
    <xf numFmtId="43" fontId="13" fillId="0" borderId="1" xfId="1" applyFont="1" applyFill="1" applyBorder="1" applyAlignment="1" applyProtection="1">
      <alignment vertical="center"/>
      <protection hidden="1"/>
    </xf>
    <xf numFmtId="4" fontId="0" fillId="0" borderId="1" xfId="0" applyNumberFormat="1" applyFont="1" applyBorder="1" applyProtection="1">
      <protection hidden="1"/>
    </xf>
    <xf numFmtId="4" fontId="1" fillId="5" borderId="1" xfId="0" applyNumberFormat="1" applyFont="1" applyFill="1" applyBorder="1" applyProtection="1">
      <protection hidden="1"/>
    </xf>
    <xf numFmtId="4" fontId="2" fillId="12" borderId="1" xfId="0" applyNumberFormat="1" applyFont="1" applyFill="1" applyBorder="1" applyProtection="1">
      <protection hidden="1"/>
    </xf>
    <xf numFmtId="4" fontId="5" fillId="13" borderId="1" xfId="0" applyNumberFormat="1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4" fontId="0" fillId="0" borderId="0" xfId="0" applyNumberFormat="1" applyProtection="1">
      <protection hidden="1"/>
    </xf>
    <xf numFmtId="4" fontId="1" fillId="2" borderId="24" xfId="0" applyNumberFormat="1" applyFont="1" applyFill="1" applyBorder="1" applyProtection="1">
      <protection hidden="1"/>
    </xf>
    <xf numFmtId="4" fontId="1" fillId="2" borderId="25" xfId="0" applyNumberFormat="1" applyFont="1" applyFill="1" applyBorder="1" applyProtection="1">
      <protection hidden="1"/>
    </xf>
    <xf numFmtId="4" fontId="1" fillId="2" borderId="2" xfId="0" applyNumberFormat="1" applyFont="1" applyFill="1" applyBorder="1" applyProtection="1">
      <protection hidden="1"/>
    </xf>
    <xf numFmtId="4" fontId="1" fillId="2" borderId="26" xfId="0" applyNumberFormat="1" applyFont="1" applyFill="1" applyBorder="1" applyProtection="1">
      <protection hidden="1"/>
    </xf>
    <xf numFmtId="4" fontId="1" fillId="2" borderId="1" xfId="0" applyNumberFormat="1" applyFont="1" applyFill="1" applyBorder="1" applyProtection="1">
      <protection hidden="1"/>
    </xf>
    <xf numFmtId="4" fontId="0" fillId="0" borderId="1" xfId="0" applyNumberForma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14" fillId="0" borderId="1" xfId="0" applyNumberFormat="1" applyFont="1" applyBorder="1" applyProtection="1">
      <protection locked="0"/>
    </xf>
    <xf numFmtId="4" fontId="4" fillId="14" borderId="1" xfId="0" applyNumberFormat="1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0" fillId="0" borderId="1" xfId="0" applyNumberFormat="1" applyFill="1" applyBorder="1" applyProtection="1">
      <protection locked="0"/>
    </xf>
    <xf numFmtId="4" fontId="0" fillId="0" borderId="21" xfId="0" applyNumberFormat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 vertical="center"/>
      <protection hidden="1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1" fontId="0" fillId="0" borderId="0" xfId="0" applyNumberFormat="1" applyProtection="1">
      <protection locked="0"/>
    </xf>
    <xf numFmtId="0" fontId="15" fillId="0" borderId="0" xfId="0" applyFont="1" applyFill="1" applyBorder="1" applyProtection="1"/>
    <xf numFmtId="0" fontId="14" fillId="0" borderId="0" xfId="0" applyFont="1" applyProtection="1"/>
    <xf numFmtId="0" fontId="0" fillId="14" borderId="1" xfId="0" applyFont="1" applyFill="1" applyBorder="1" applyProtection="1">
      <protection locked="0"/>
    </xf>
    <xf numFmtId="4" fontId="0" fillId="0" borderId="1" xfId="0" applyNumberFormat="1" applyFill="1" applyBorder="1" applyAlignment="1" applyProtection="1">
      <alignment wrapText="1"/>
      <protection hidden="1"/>
    </xf>
    <xf numFmtId="4" fontId="0" fillId="0" borderId="1" xfId="0" applyNumberFormat="1" applyFill="1" applyBorder="1"/>
    <xf numFmtId="0" fontId="5" fillId="0" borderId="1" xfId="0" applyFont="1" applyFill="1" applyBorder="1" applyProtection="1"/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Protection="1">
      <protection hidden="1"/>
    </xf>
    <xf numFmtId="0" fontId="15" fillId="0" borderId="1" xfId="0" applyFont="1" applyFill="1" applyBorder="1" applyProtection="1"/>
    <xf numFmtId="4" fontId="15" fillId="0" borderId="0" xfId="0" applyNumberFormat="1" applyFont="1" applyFill="1" applyBorder="1" applyProtection="1"/>
    <xf numFmtId="3" fontId="0" fillId="0" borderId="0" xfId="0" applyNumberFormat="1"/>
    <xf numFmtId="4" fontId="5" fillId="0" borderId="1" xfId="0" applyNumberFormat="1" applyFont="1" applyFill="1" applyBorder="1" applyProtection="1"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4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9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0" xfId="0" applyFont="1" applyFill="1"/>
    <xf numFmtId="0" fontId="11" fillId="0" borderId="0" xfId="0" applyFont="1" applyAlignment="1" applyProtection="1">
      <alignment horizontal="right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C42308"/>
      <color rgb="FF8E0000"/>
      <color rgb="FFD21E10"/>
      <color rgb="FFFDBBB9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88:M89" totalsRowShown="0" headerRowDxfId="15" dataDxfId="14" tableBorderDxfId="13">
  <autoFilter ref="A88:M89"/>
  <tableColumns count="13">
    <tableColumn id="1" name="Columna1" dataDxfId="12"/>
    <tableColumn id="2" name="Columna2" dataDxfId="11">
      <calculatedColumnFormula>IF((B70-B73-B84)&gt;0,B70-B73-B84,0)</calculatedColumnFormula>
    </tableColumn>
    <tableColumn id="3" name="Columna3" dataDxfId="10">
      <calculatedColumnFormula>IF((C70-C73-C84)&gt;0,C70-C73-C84,0)</calculatedColumnFormula>
    </tableColumn>
    <tableColumn id="4" name="Columna4" dataDxfId="9">
      <calculatedColumnFormula>IF((D70-D73-D84)&gt;0,D70-D73-D84,0)</calculatedColumnFormula>
    </tableColumn>
    <tableColumn id="5" name="Columna5" dataDxfId="8">
      <calculatedColumnFormula>IF((E70-E73-E84)&gt;0,E70-E73-E84,0)</calculatedColumnFormula>
    </tableColumn>
    <tableColumn id="6" name="Columna6" dataDxfId="7">
      <calculatedColumnFormula>IF((F70-F73-F84)&gt;0,F70-F73-F84,0)</calculatedColumnFormula>
    </tableColumn>
    <tableColumn id="7" name="Columna7" dataDxfId="6">
      <calculatedColumnFormula>IF((G70-G73-G84)&gt;0,G70-G73-G84,0)</calculatedColumnFormula>
    </tableColumn>
    <tableColumn id="8" name="Columna8" dataDxfId="5">
      <calculatedColumnFormula>IF((H70-H73-H84)&gt;0,H70-H73-H84,0)</calculatedColumnFormula>
    </tableColumn>
    <tableColumn id="9" name="Columna9" dataDxfId="4">
      <calculatedColumnFormula>IF((I70-I73-I84)&gt;0,I70-I73-I84,0)</calculatedColumnFormula>
    </tableColumn>
    <tableColumn id="10" name="Columna10" dataDxfId="3">
      <calculatedColumnFormula>IF((J70-J73-J84)&gt;0,J70-J73-J84,0)</calculatedColumnFormula>
    </tableColumn>
    <tableColumn id="11" name="Columna11" dataDxfId="2">
      <calculatedColumnFormula>IF((K70-K73-K84)&gt;0,K70-K73-K84,0)</calculatedColumnFormula>
    </tableColumn>
    <tableColumn id="12" name="Columna12" dataDxfId="1">
      <calculatedColumnFormula>IF((L70-L73-L84)&gt;0,L70-L73-L84,0)</calculatedColumnFormula>
    </tableColumn>
    <tableColumn id="13" name="Columna13" dataDxfId="0">
      <calculatedColumnFormula>IF((M70-M73-M84)&gt;0,M70-M73-M84,0)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"/>
  <sheetViews>
    <sheetView showGridLines="0" tabSelected="1" zoomScale="110" zoomScaleNormal="110" workbookViewId="0">
      <selection activeCell="B99" sqref="B99"/>
    </sheetView>
  </sheetViews>
  <sheetFormatPr baseColWidth="10" defaultColWidth="11.42578125" defaultRowHeight="15" x14ac:dyDescent="0.25"/>
  <cols>
    <col min="1" max="1" width="50.42578125" style="2" customWidth="1"/>
    <col min="2" max="2" width="14" style="2" customWidth="1"/>
    <col min="3" max="4" width="12.7109375" style="2" customWidth="1"/>
    <col min="5" max="5" width="15" style="2" customWidth="1"/>
    <col min="6" max="9" width="12.7109375" style="2" customWidth="1"/>
    <col min="10" max="12" width="13" style="2" customWidth="1"/>
    <col min="13" max="13" width="14.85546875" style="2" customWidth="1"/>
    <col min="14" max="14" width="11.42578125" style="2"/>
    <col min="15" max="15" width="27" style="2" bestFit="1" customWidth="1"/>
    <col min="16" max="16384" width="11.42578125" style="2"/>
  </cols>
  <sheetData>
    <row r="1" spans="1:19" ht="15.75" x14ac:dyDescent="0.25">
      <c r="A1" s="21" t="s">
        <v>0</v>
      </c>
      <c r="E1" s="4"/>
      <c r="K1" s="165" t="s">
        <v>142</v>
      </c>
      <c r="L1" s="165"/>
      <c r="M1" s="165"/>
    </row>
    <row r="2" spans="1:19" x14ac:dyDescent="0.25">
      <c r="A2" s="4"/>
      <c r="B2" s="4" t="s">
        <v>141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R2" s="5"/>
      <c r="S2" s="5"/>
    </row>
    <row r="3" spans="1:19" s="8" customFormat="1" x14ac:dyDescent="0.25">
      <c r="A3" s="51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6"/>
      <c r="O3" s="7"/>
      <c r="P3" s="6"/>
      <c r="Q3" s="6"/>
      <c r="R3" s="6"/>
      <c r="S3" s="6"/>
    </row>
    <row r="4" spans="1:19" s="8" customFormat="1" ht="15.75" customHeight="1" x14ac:dyDescent="0.25">
      <c r="A4" s="9" t="s">
        <v>14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6"/>
      <c r="P4" s="6"/>
      <c r="Q4" s="6"/>
      <c r="R4" s="6"/>
      <c r="S4" s="6"/>
    </row>
    <row r="5" spans="1:19" s="8" customFormat="1" x14ac:dyDescent="0.25">
      <c r="A5" s="9" t="s">
        <v>15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6"/>
      <c r="P5" s="6"/>
      <c r="Q5" s="6"/>
      <c r="R5" s="6"/>
      <c r="S5" s="6"/>
    </row>
    <row r="6" spans="1:19" s="8" customFormat="1" x14ac:dyDescent="0.25">
      <c r="A6" s="9" t="s">
        <v>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6"/>
      <c r="P6" s="6"/>
      <c r="Q6" s="6"/>
      <c r="R6" s="6"/>
      <c r="S6" s="6"/>
    </row>
    <row r="7" spans="1:19" s="8" customFormat="1" ht="15" customHeight="1" x14ac:dyDescent="0.25">
      <c r="A7" s="57" t="s">
        <v>17</v>
      </c>
      <c r="B7" s="127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6"/>
      <c r="P7" s="6"/>
      <c r="Q7" s="6"/>
      <c r="R7" s="6"/>
      <c r="S7" s="6"/>
    </row>
    <row r="8" spans="1:19" s="8" customFormat="1" x14ac:dyDescent="0.25">
      <c r="A8" s="9" t="s">
        <v>18</v>
      </c>
      <c r="B8" s="128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6"/>
      <c r="P8" s="6"/>
      <c r="Q8" s="6"/>
      <c r="R8" s="6"/>
      <c r="S8" s="6"/>
    </row>
    <row r="9" spans="1:19" s="8" customFormat="1" x14ac:dyDescent="0.25">
      <c r="A9" s="37" t="s">
        <v>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6"/>
      <c r="P9" s="6"/>
      <c r="Q9" s="6"/>
      <c r="R9" s="6"/>
      <c r="S9" s="6"/>
    </row>
    <row r="10" spans="1:19" s="8" customFormat="1" x14ac:dyDescent="0.25">
      <c r="A10" s="85" t="s">
        <v>133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6"/>
      <c r="P10" s="6"/>
      <c r="Q10" s="6"/>
      <c r="R10" s="6"/>
      <c r="S10" s="6"/>
    </row>
    <row r="11" spans="1:19" s="8" customFormat="1" x14ac:dyDescent="0.25">
      <c r="A11" s="86" t="s">
        <v>119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6"/>
      <c r="P11" s="6"/>
      <c r="Q11" s="6"/>
      <c r="R11" s="6"/>
      <c r="S11" s="6"/>
    </row>
    <row r="12" spans="1:19" s="8" customFormat="1" x14ac:dyDescent="0.25">
      <c r="A12" s="37" t="s">
        <v>20</v>
      </c>
      <c r="B12" s="129"/>
      <c r="C12" s="129"/>
      <c r="D12" s="129"/>
      <c r="E12" s="129"/>
      <c r="F12" s="129"/>
      <c r="G12" s="130"/>
      <c r="H12" s="129"/>
      <c r="I12" s="129"/>
      <c r="J12" s="129"/>
      <c r="K12" s="129"/>
      <c r="L12" s="129"/>
      <c r="M12" s="130"/>
      <c r="N12" s="6"/>
      <c r="O12" s="10"/>
      <c r="P12" s="6"/>
      <c r="Q12" s="6"/>
      <c r="R12" s="6"/>
      <c r="S12" s="6"/>
    </row>
    <row r="13" spans="1:19" s="8" customFormat="1" x14ac:dyDescent="0.25">
      <c r="A13" s="11" t="s">
        <v>21</v>
      </c>
      <c r="B13" s="98">
        <f>SUM(B4:B12)</f>
        <v>0</v>
      </c>
      <c r="C13" s="98">
        <f t="shared" ref="C13:M13" si="0">SUM(C4:C12)</f>
        <v>0</v>
      </c>
      <c r="D13" s="98">
        <f t="shared" si="0"/>
        <v>0</v>
      </c>
      <c r="E13" s="98">
        <f t="shared" si="0"/>
        <v>0</v>
      </c>
      <c r="F13" s="98">
        <f t="shared" si="0"/>
        <v>0</v>
      </c>
      <c r="G13" s="98">
        <f t="shared" si="0"/>
        <v>0</v>
      </c>
      <c r="H13" s="98">
        <f t="shared" si="0"/>
        <v>0</v>
      </c>
      <c r="I13" s="98">
        <f t="shared" si="0"/>
        <v>0</v>
      </c>
      <c r="J13" s="98">
        <f t="shared" si="0"/>
        <v>0</v>
      </c>
      <c r="K13" s="98">
        <f t="shared" si="0"/>
        <v>0</v>
      </c>
      <c r="L13" s="98">
        <f t="shared" si="0"/>
        <v>0</v>
      </c>
      <c r="M13" s="98">
        <f t="shared" si="0"/>
        <v>0</v>
      </c>
      <c r="N13" s="6"/>
      <c r="P13" s="6"/>
      <c r="Q13" s="6"/>
      <c r="R13" s="6"/>
      <c r="S13" s="6"/>
    </row>
    <row r="14" spans="1:19" s="8" customFormat="1" x14ac:dyDescent="0.25">
      <c r="A14" s="29" t="s">
        <v>22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"/>
      <c r="P14" s="6"/>
      <c r="Q14" s="6"/>
      <c r="R14" s="6"/>
      <c r="S14" s="6"/>
    </row>
    <row r="15" spans="1:19" s="8" customFormat="1" x14ac:dyDescent="0.25">
      <c r="A15" s="29" t="s">
        <v>23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6"/>
      <c r="P15" s="6"/>
      <c r="Q15" s="6"/>
      <c r="R15" s="6"/>
      <c r="S15" s="6"/>
    </row>
    <row r="16" spans="1:19" s="8" customFormat="1" x14ac:dyDescent="0.25">
      <c r="A16" s="12" t="s">
        <v>24</v>
      </c>
      <c r="B16" s="99">
        <f>SUM(B14:B15)</f>
        <v>0</v>
      </c>
      <c r="C16" s="99">
        <f t="shared" ref="C16:M16" si="1">SUM(C14:C15)</f>
        <v>0</v>
      </c>
      <c r="D16" s="99">
        <f t="shared" si="1"/>
        <v>0</v>
      </c>
      <c r="E16" s="99">
        <f t="shared" si="1"/>
        <v>0</v>
      </c>
      <c r="F16" s="99">
        <f t="shared" si="1"/>
        <v>0</v>
      </c>
      <c r="G16" s="99">
        <f t="shared" si="1"/>
        <v>0</v>
      </c>
      <c r="H16" s="99">
        <f t="shared" si="1"/>
        <v>0</v>
      </c>
      <c r="I16" s="99">
        <f t="shared" si="1"/>
        <v>0</v>
      </c>
      <c r="J16" s="99">
        <f t="shared" si="1"/>
        <v>0</v>
      </c>
      <c r="K16" s="99">
        <f t="shared" si="1"/>
        <v>0</v>
      </c>
      <c r="L16" s="99">
        <f t="shared" si="1"/>
        <v>0</v>
      </c>
      <c r="M16" s="99">
        <f t="shared" si="1"/>
        <v>0</v>
      </c>
      <c r="N16" s="6"/>
      <c r="P16" s="6"/>
      <c r="Q16" s="6"/>
      <c r="R16" s="6"/>
      <c r="S16" s="6"/>
    </row>
    <row r="17" spans="1:20" x14ac:dyDescent="0.25">
      <c r="A17" s="9" t="s">
        <v>25</v>
      </c>
      <c r="B17" s="100">
        <f>IF($B$13&gt;318103.83,(318103.83*$C$142),$B$13*+$C$142)</f>
        <v>0</v>
      </c>
      <c r="C17" s="100">
        <f>IF($C$13&gt;318103.83,(318103.83*$C$142),$C$13*$C$142)</f>
        <v>0</v>
      </c>
      <c r="D17" s="100">
        <f>IF($D$13&gt;357166.98,(357166.98*$C$142),$D$13*$C$142)</f>
        <v>0</v>
      </c>
      <c r="E17" s="100">
        <f>IF($E$13&gt;357166.98,(357166.98*$C$142),$E$13*$C$142)</f>
        <v>0</v>
      </c>
      <c r="F17" s="100">
        <f>IF($F$13&gt;357166.98,(357166.98*$C$142),$F$13*$C$142)</f>
        <v>0</v>
      </c>
      <c r="G17" s="100">
        <f>IF($G$13&gt;357166.98,(357166.98*$C$142),$G$13*$C$142)</f>
        <v>0</v>
      </c>
      <c r="H17" s="100">
        <f>IF($H$13&gt;357166.98,(357166.98*$C$142),$H$13*$C$142)</f>
        <v>0</v>
      </c>
      <c r="I17" s="100">
        <f>IF($I$13&gt;357166.98,(357166.98*$C$142),$I$13*$C$142)</f>
        <v>0</v>
      </c>
      <c r="J17" s="100">
        <f>IF($J$13&gt;357166.98,(357166.98*$C$142),$J$13*$C$142)</f>
        <v>0</v>
      </c>
      <c r="K17" s="100">
        <f>IF($K$13&gt;357166.98,(357166.98*$C$142),$K$13*$C$142)</f>
        <v>0</v>
      </c>
      <c r="L17" s="100">
        <f>IF($L$13&gt;357166.98,(357166.98*$C$142),$L$13*$C$142)</f>
        <v>0</v>
      </c>
      <c r="M17" s="100">
        <f>IF($M$13&gt;357166.98,(357166.98*$C$142),$M$13*$C$142)</f>
        <v>0</v>
      </c>
      <c r="N17" s="5"/>
      <c r="O17" s="5"/>
      <c r="P17" s="5"/>
      <c r="Q17" s="5"/>
      <c r="R17" s="5"/>
      <c r="S17" s="5"/>
    </row>
    <row r="18" spans="1:20" x14ac:dyDescent="0.25">
      <c r="A18" s="9" t="s">
        <v>26</v>
      </c>
      <c r="B18" s="100">
        <f>IF($B$13&gt;318103.83,(318103.83*$C$143),$B$13*$C$143)</f>
        <v>0</v>
      </c>
      <c r="C18" s="100">
        <f>IF($C$13&gt;318103.83,(318103.83*$C$143),$C$13*$C$143)</f>
        <v>0</v>
      </c>
      <c r="D18" s="100">
        <f>IF($D$13&gt;357166.98,(357166.98*$C$143),$D$13*$C$143)</f>
        <v>0</v>
      </c>
      <c r="E18" s="100">
        <f>IF($E$13&gt;357166.98,(357166.98*$C$143),$E$13*$C$143)</f>
        <v>0</v>
      </c>
      <c r="F18" s="100">
        <f>IF($F$13&gt;357166.98,(357166.98*$C$143),$F$13*$C$143)</f>
        <v>0</v>
      </c>
      <c r="G18" s="100">
        <f>IF($G$13&gt;357166.98,(357166.98*$C$143),$G$13*$C$143)</f>
        <v>0</v>
      </c>
      <c r="H18" s="100">
        <f>IF($H$13&gt;357166.98,(357166.98*$C$143),$H$13*$C$143)</f>
        <v>0</v>
      </c>
      <c r="I18" s="100">
        <f>IF($I$13&gt;357166.98,(357166.98*$C$143),$I$13*$C$143)</f>
        <v>0</v>
      </c>
      <c r="J18" s="100">
        <f>IF($J$13&gt;357166.98,(357166.98*$C$143),$J$13*$C$143)</f>
        <v>0</v>
      </c>
      <c r="K18" s="100">
        <f>IF($K$13&gt;357166.98,(357166.98*$C$143),$K$13*$C$143)</f>
        <v>0</v>
      </c>
      <c r="L18" s="100">
        <f>IF($L$13&gt;357166.98,(357166.98*$C$143),$L$13*$C$143)</f>
        <v>0</v>
      </c>
      <c r="M18" s="100">
        <f>IF($M$13&gt;357166.98,(357166.98*$C$143),$M$13*$C$143)</f>
        <v>0</v>
      </c>
      <c r="N18" s="5"/>
      <c r="O18" s="5"/>
      <c r="P18" s="5"/>
      <c r="Q18" s="5"/>
      <c r="R18" s="5"/>
      <c r="S18" s="5"/>
    </row>
    <row r="19" spans="1:20" x14ac:dyDescent="0.25">
      <c r="A19" s="9" t="s">
        <v>27</v>
      </c>
      <c r="B19" s="100">
        <f>IF($B$13&gt;318103.83,(318103.83*$C$144),$B$13*$C$144)</f>
        <v>0</v>
      </c>
      <c r="C19" s="100">
        <f>IF($C$13&gt;318103.83,(318103.83*$C$144),$C$13*$C$144)</f>
        <v>0</v>
      </c>
      <c r="D19" s="100">
        <f>IF($D$13&gt;357166.98,(357166.98*$C$144),$D$13*$C$144)</f>
        <v>0</v>
      </c>
      <c r="E19" s="100">
        <f>IF($E$13&gt;357166.98,(357166.98*$C$144),$E$13*$C$144)</f>
        <v>0</v>
      </c>
      <c r="F19" s="100">
        <f>IF($F$13&gt;357166.98,(357166.98*$C$144),$F$13*$C$144)</f>
        <v>0</v>
      </c>
      <c r="G19" s="100">
        <f>IF($G$13&gt;357166.98,(357166.98*$C$144),$G$13*$C$144)</f>
        <v>0</v>
      </c>
      <c r="H19" s="100">
        <f>IF($H$13&gt;357166.98,(357166.98*$C$144),$H$13*$C$144)</f>
        <v>0</v>
      </c>
      <c r="I19" s="100">
        <f>IF($I$13&gt;357166.98,(357166.98*$C$144),$I$13*$C$144)</f>
        <v>0</v>
      </c>
      <c r="J19" s="100">
        <f>IF($J$13&gt;357166.98,(357166.98*$C$144),$J$13*$C$144)</f>
        <v>0</v>
      </c>
      <c r="K19" s="100">
        <f>IF($K$13&gt;357166.98,(357166.98*$C$144),$K$13*$C$144)</f>
        <v>0</v>
      </c>
      <c r="L19" s="100">
        <f>IF($L$13&gt;357166.98,(357166.98*$C$144),$L$13*$C$144)</f>
        <v>0</v>
      </c>
      <c r="M19" s="100">
        <f>IF($M$13&gt;357166.98,(357166.98*$C$144),$M$13*$C$144)</f>
        <v>0</v>
      </c>
      <c r="N19" s="5"/>
      <c r="O19" s="5"/>
      <c r="P19" s="5"/>
      <c r="Q19" s="5"/>
      <c r="R19" s="5"/>
      <c r="S19" s="5"/>
    </row>
    <row r="20" spans="1:20" x14ac:dyDescent="0.25">
      <c r="A20" s="9" t="s">
        <v>28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5"/>
      <c r="O20" s="5"/>
      <c r="P20" s="5"/>
      <c r="Q20" s="5"/>
      <c r="R20" s="5"/>
      <c r="S20" s="5"/>
    </row>
    <row r="21" spans="1:20" x14ac:dyDescent="0.25">
      <c r="A21" s="12" t="s">
        <v>29</v>
      </c>
      <c r="B21" s="99">
        <f>SUM(B17:B19)</f>
        <v>0</v>
      </c>
      <c r="C21" s="99">
        <f t="shared" ref="C21:M21" si="2">SUM(C17:C19)</f>
        <v>0</v>
      </c>
      <c r="D21" s="99">
        <f t="shared" si="2"/>
        <v>0</v>
      </c>
      <c r="E21" s="99">
        <f t="shared" si="2"/>
        <v>0</v>
      </c>
      <c r="F21" s="99">
        <f t="shared" si="2"/>
        <v>0</v>
      </c>
      <c r="G21" s="99">
        <f t="shared" si="2"/>
        <v>0</v>
      </c>
      <c r="H21" s="99">
        <f t="shared" si="2"/>
        <v>0</v>
      </c>
      <c r="I21" s="99">
        <f t="shared" si="2"/>
        <v>0</v>
      </c>
      <c r="J21" s="99">
        <f t="shared" si="2"/>
        <v>0</v>
      </c>
      <c r="K21" s="99">
        <f t="shared" si="2"/>
        <v>0</v>
      </c>
      <c r="L21" s="99">
        <f t="shared" si="2"/>
        <v>0</v>
      </c>
      <c r="M21" s="99">
        <f t="shared" si="2"/>
        <v>0</v>
      </c>
      <c r="N21" s="5"/>
      <c r="O21" s="5"/>
      <c r="P21" s="5"/>
      <c r="Q21" s="5"/>
      <c r="R21" s="5"/>
      <c r="S21" s="5"/>
    </row>
    <row r="22" spans="1:20" x14ac:dyDescent="0.25">
      <c r="A22" s="20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5"/>
      <c r="O22" s="5"/>
      <c r="P22" s="5"/>
      <c r="Q22" s="5"/>
      <c r="R22" s="5"/>
      <c r="S22" s="5"/>
    </row>
    <row r="23" spans="1:20" x14ac:dyDescent="0.25">
      <c r="A23" s="36" t="s">
        <v>30</v>
      </c>
      <c r="B23" s="103">
        <f>B13+B16-B21</f>
        <v>0</v>
      </c>
      <c r="C23" s="103">
        <f t="shared" ref="C23:M23" si="3">C13+C16-C21</f>
        <v>0</v>
      </c>
      <c r="D23" s="103">
        <f t="shared" si="3"/>
        <v>0</v>
      </c>
      <c r="E23" s="103">
        <f t="shared" si="3"/>
        <v>0</v>
      </c>
      <c r="F23" s="103">
        <f t="shared" si="3"/>
        <v>0</v>
      </c>
      <c r="G23" s="103">
        <f t="shared" si="3"/>
        <v>0</v>
      </c>
      <c r="H23" s="103">
        <f t="shared" si="3"/>
        <v>0</v>
      </c>
      <c r="I23" s="103">
        <f t="shared" si="3"/>
        <v>0</v>
      </c>
      <c r="J23" s="103">
        <f t="shared" si="3"/>
        <v>0</v>
      </c>
      <c r="K23" s="103">
        <f t="shared" si="3"/>
        <v>0</v>
      </c>
      <c r="L23" s="103">
        <f t="shared" si="3"/>
        <v>0</v>
      </c>
      <c r="M23" s="103">
        <f t="shared" si="3"/>
        <v>0</v>
      </c>
      <c r="N23" s="5"/>
      <c r="O23" s="5"/>
      <c r="P23" s="5"/>
      <c r="Q23" s="5"/>
      <c r="R23" s="5"/>
      <c r="S23" s="5"/>
    </row>
    <row r="24" spans="1:20" x14ac:dyDescent="0.25">
      <c r="A24" s="28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5"/>
      <c r="O24" s="5"/>
      <c r="P24" s="5"/>
      <c r="Q24" s="5"/>
      <c r="R24" s="5"/>
      <c r="S24" s="5"/>
    </row>
    <row r="25" spans="1:20" ht="15.75" x14ac:dyDescent="0.25">
      <c r="A25" s="21" t="s">
        <v>31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5"/>
      <c r="O25" s="5"/>
      <c r="P25" s="5"/>
      <c r="Q25" s="5"/>
      <c r="R25" s="5"/>
      <c r="S25" s="5"/>
    </row>
    <row r="26" spans="1:20" ht="15.75" x14ac:dyDescent="0.25">
      <c r="A26" s="21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46"/>
      <c r="O26" s="5"/>
      <c r="P26" s="5"/>
      <c r="Q26" s="5"/>
      <c r="R26" s="5"/>
      <c r="S26" s="5"/>
    </row>
    <row r="27" spans="1:20" x14ac:dyDescent="0.25">
      <c r="A27" s="34" t="s">
        <v>32</v>
      </c>
      <c r="B27" s="105" t="s">
        <v>2</v>
      </c>
      <c r="C27" s="105" t="s">
        <v>3</v>
      </c>
      <c r="D27" s="105" t="s">
        <v>4</v>
      </c>
      <c r="E27" s="105" t="s">
        <v>5</v>
      </c>
      <c r="F27" s="105" t="s">
        <v>6</v>
      </c>
      <c r="G27" s="105" t="s">
        <v>7</v>
      </c>
      <c r="H27" s="105" t="s">
        <v>8</v>
      </c>
      <c r="I27" s="105" t="s">
        <v>9</v>
      </c>
      <c r="J27" s="105" t="s">
        <v>10</v>
      </c>
      <c r="K27" s="105" t="s">
        <v>11</v>
      </c>
      <c r="L27" s="105" t="s">
        <v>12</v>
      </c>
      <c r="M27" s="105" t="s">
        <v>13</v>
      </c>
      <c r="N27" s="46"/>
      <c r="O27" s="5"/>
      <c r="P27" s="5"/>
      <c r="Q27" s="5"/>
      <c r="R27" s="5"/>
      <c r="S27" s="5"/>
    </row>
    <row r="28" spans="1:20" x14ac:dyDescent="0.25">
      <c r="A28" s="32" t="s">
        <v>135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5"/>
      <c r="O28" s="5"/>
      <c r="P28" s="5"/>
      <c r="Q28" s="5"/>
      <c r="R28" s="5"/>
      <c r="S28" s="5"/>
      <c r="T28" s="5"/>
    </row>
    <row r="29" spans="1:20" x14ac:dyDescent="0.25">
      <c r="A29" s="32" t="s">
        <v>16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5"/>
      <c r="O29" s="5"/>
      <c r="P29" s="5"/>
      <c r="Q29" s="5"/>
      <c r="R29" s="5"/>
      <c r="S29" s="5"/>
      <c r="T29" s="5"/>
    </row>
    <row r="30" spans="1:20" x14ac:dyDescent="0.25">
      <c r="A30" s="58" t="s">
        <v>33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46"/>
      <c r="O30" s="5"/>
      <c r="P30" s="5"/>
      <c r="Q30" s="5"/>
      <c r="R30" s="5"/>
      <c r="S30" s="5"/>
      <c r="T30" s="5"/>
    </row>
    <row r="31" spans="1:20" x14ac:dyDescent="0.25">
      <c r="A31" s="29" t="s">
        <v>133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46"/>
      <c r="O31" s="5"/>
      <c r="P31" s="5"/>
      <c r="Q31" s="5"/>
      <c r="R31" s="5"/>
      <c r="S31" s="5"/>
      <c r="T31" s="5"/>
    </row>
    <row r="32" spans="1:20" x14ac:dyDescent="0.25">
      <c r="A32" s="58" t="s">
        <v>34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46"/>
      <c r="O32" s="5"/>
      <c r="P32" s="5"/>
      <c r="Q32" s="5"/>
      <c r="R32" s="5"/>
      <c r="S32" s="5"/>
      <c r="T32" s="5"/>
    </row>
    <row r="33" spans="1:19" x14ac:dyDescent="0.25">
      <c r="A33" s="9" t="s">
        <v>35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5"/>
      <c r="O33" s="5"/>
      <c r="P33" s="5"/>
      <c r="Q33" s="5"/>
      <c r="R33" s="5"/>
      <c r="S33" s="5"/>
    </row>
    <row r="34" spans="1:19" x14ac:dyDescent="0.25">
      <c r="A34" s="9" t="s">
        <v>36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5"/>
      <c r="O34" s="5"/>
      <c r="P34" s="5"/>
      <c r="Q34" s="5"/>
      <c r="R34" s="5"/>
      <c r="S34" s="5"/>
    </row>
    <row r="35" spans="1:19" ht="15.75" x14ac:dyDescent="0.25">
      <c r="A35" s="31" t="s">
        <v>20</v>
      </c>
      <c r="B35" s="142"/>
      <c r="C35" s="129"/>
      <c r="D35" s="129"/>
      <c r="E35" s="129"/>
      <c r="F35" s="129"/>
      <c r="G35" s="130"/>
      <c r="H35" s="129"/>
      <c r="I35" s="129"/>
      <c r="J35" s="129"/>
      <c r="K35" s="129"/>
      <c r="L35" s="129"/>
      <c r="M35" s="130"/>
      <c r="N35" s="5"/>
      <c r="O35" s="5"/>
      <c r="P35" s="5"/>
      <c r="Q35" s="5"/>
      <c r="R35" s="5"/>
      <c r="S35" s="5"/>
    </row>
    <row r="36" spans="1:19" ht="15.75" x14ac:dyDescent="0.25">
      <c r="A36" s="31" t="s">
        <v>37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5"/>
      <c r="O36" s="5"/>
      <c r="P36" s="5"/>
      <c r="Q36" s="5"/>
      <c r="R36" s="5"/>
      <c r="S36" s="5"/>
    </row>
    <row r="37" spans="1:19" x14ac:dyDescent="0.25">
      <c r="A37" s="4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5"/>
      <c r="O37" s="5"/>
      <c r="P37" s="5"/>
      <c r="Q37" s="5"/>
      <c r="R37" s="5"/>
      <c r="S37" s="5"/>
    </row>
    <row r="38" spans="1:19" x14ac:dyDescent="0.25">
      <c r="A38" s="24" t="s">
        <v>38</v>
      </c>
      <c r="B38" s="107">
        <f>B13+B16+B28+B30+B32+B33+B34-B12+B31+B29</f>
        <v>0</v>
      </c>
      <c r="C38" s="107">
        <f>C13+C16+C28+C30+C32+C33+C34-C12+C31+C29</f>
        <v>0</v>
      </c>
      <c r="D38" s="107">
        <f t="shared" ref="D38:M38" si="4">D13+D16+D28+D30+D32+D33+D34-D12+D31+D29</f>
        <v>0</v>
      </c>
      <c r="E38" s="107">
        <f t="shared" si="4"/>
        <v>0</v>
      </c>
      <c r="F38" s="107">
        <f t="shared" si="4"/>
        <v>0</v>
      </c>
      <c r="G38" s="107">
        <f t="shared" si="4"/>
        <v>0</v>
      </c>
      <c r="H38" s="107">
        <f t="shared" si="4"/>
        <v>0</v>
      </c>
      <c r="I38" s="107">
        <f t="shared" si="4"/>
        <v>0</v>
      </c>
      <c r="J38" s="107">
        <f t="shared" si="4"/>
        <v>0</v>
      </c>
      <c r="K38" s="107">
        <f t="shared" si="4"/>
        <v>0</v>
      </c>
      <c r="L38" s="107">
        <f t="shared" si="4"/>
        <v>0</v>
      </c>
      <c r="M38" s="107">
        <f t="shared" si="4"/>
        <v>0</v>
      </c>
      <c r="N38" s="5"/>
      <c r="O38" s="5"/>
      <c r="P38" s="5"/>
      <c r="Q38" s="5"/>
      <c r="R38" s="5"/>
      <c r="S38" s="5"/>
    </row>
    <row r="39" spans="1:19" x14ac:dyDescent="0.25">
      <c r="A39" s="36" t="s">
        <v>39</v>
      </c>
      <c r="B39" s="103">
        <f>AVERAGE(B38)</f>
        <v>0</v>
      </c>
      <c r="C39" s="103">
        <f>AVERAGE(B38:C38)</f>
        <v>0</v>
      </c>
      <c r="D39" s="103">
        <f>AVERAGE(B38:D38)</f>
        <v>0</v>
      </c>
      <c r="E39" s="103">
        <f>AVERAGE(B38:E38)</f>
        <v>0</v>
      </c>
      <c r="F39" s="103">
        <f>AVERAGE(B38:F38)</f>
        <v>0</v>
      </c>
      <c r="G39" s="103">
        <f>AVERAGE(B38:G38)</f>
        <v>0</v>
      </c>
      <c r="H39" s="103">
        <f>AVERAGE($B$38:$H$38)</f>
        <v>0</v>
      </c>
      <c r="I39" s="103">
        <f>AVERAGE($B$38:$I$38)</f>
        <v>0</v>
      </c>
      <c r="J39" s="103">
        <f>AVERAGE($B$38:$J$38)</f>
        <v>0</v>
      </c>
      <c r="K39" s="103">
        <f>AVERAGE($B$38:$K$38)</f>
        <v>0</v>
      </c>
      <c r="L39" s="103">
        <f>AVERAGE($B$38:$L$38)</f>
        <v>0</v>
      </c>
      <c r="M39" s="103">
        <f>AVERAGE($B$38:$M$38)</f>
        <v>0</v>
      </c>
      <c r="N39" s="5"/>
      <c r="O39" s="5"/>
      <c r="P39" s="5"/>
      <c r="Q39" s="5"/>
      <c r="R39" s="5"/>
      <c r="S39" s="5"/>
    </row>
    <row r="40" spans="1:19" x14ac:dyDescent="0.25">
      <c r="A40" s="33" t="s">
        <v>40</v>
      </c>
      <c r="B40" s="108">
        <f>MIN(B38,B39)</f>
        <v>0</v>
      </c>
      <c r="C40" s="108">
        <f>MIN(C38,C39)</f>
        <v>0</v>
      </c>
      <c r="D40" s="108">
        <f t="shared" ref="D40:M40" si="5">MIN(D38,D39)</f>
        <v>0</v>
      </c>
      <c r="E40" s="108">
        <f t="shared" si="5"/>
        <v>0</v>
      </c>
      <c r="F40" s="108">
        <f t="shared" si="5"/>
        <v>0</v>
      </c>
      <c r="G40" s="108">
        <f t="shared" si="5"/>
        <v>0</v>
      </c>
      <c r="H40" s="108">
        <f t="shared" si="5"/>
        <v>0</v>
      </c>
      <c r="I40" s="108">
        <f t="shared" si="5"/>
        <v>0</v>
      </c>
      <c r="J40" s="108">
        <f t="shared" si="5"/>
        <v>0</v>
      </c>
      <c r="K40" s="108">
        <f t="shared" si="5"/>
        <v>0</v>
      </c>
      <c r="L40" s="108">
        <f t="shared" si="5"/>
        <v>0</v>
      </c>
      <c r="M40" s="108">
        <f t="shared" si="5"/>
        <v>0</v>
      </c>
      <c r="N40" s="5"/>
      <c r="O40" s="5"/>
      <c r="P40" s="5"/>
      <c r="Q40" s="5"/>
      <c r="R40" s="5"/>
      <c r="S40" s="5"/>
    </row>
    <row r="41" spans="1:19" x14ac:dyDescent="0.25">
      <c r="A41" s="28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5"/>
      <c r="O41" s="5"/>
      <c r="P41" s="5"/>
      <c r="Q41" s="5"/>
      <c r="R41" s="5"/>
      <c r="S41" s="5"/>
    </row>
    <row r="42" spans="1:19" s="8" customFormat="1" x14ac:dyDescent="0.25">
      <c r="A42" s="73" t="s">
        <v>41</v>
      </c>
      <c r="B42" s="105" t="s">
        <v>2</v>
      </c>
      <c r="C42" s="105" t="s">
        <v>3</v>
      </c>
      <c r="D42" s="105" t="s">
        <v>4</v>
      </c>
      <c r="E42" s="105" t="s">
        <v>5</v>
      </c>
      <c r="F42" s="105" t="s">
        <v>6</v>
      </c>
      <c r="G42" s="105" t="s">
        <v>7</v>
      </c>
      <c r="H42" s="105" t="s">
        <v>8</v>
      </c>
      <c r="I42" s="105" t="s">
        <v>9</v>
      </c>
      <c r="J42" s="105" t="s">
        <v>10</v>
      </c>
      <c r="K42" s="105" t="s">
        <v>11</v>
      </c>
      <c r="L42" s="105" t="s">
        <v>12</v>
      </c>
      <c r="M42" s="105" t="s">
        <v>13</v>
      </c>
      <c r="N42" s="6"/>
      <c r="O42" s="7"/>
      <c r="P42" s="6"/>
      <c r="Q42" s="6"/>
      <c r="R42" s="6"/>
      <c r="S42" s="6"/>
    </row>
    <row r="43" spans="1:19" x14ac:dyDescent="0.25">
      <c r="A43" s="65" t="s">
        <v>42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5"/>
      <c r="O43" s="8"/>
      <c r="P43" s="14"/>
      <c r="Q43" s="5"/>
      <c r="R43" s="5"/>
      <c r="S43" s="5"/>
    </row>
    <row r="44" spans="1:19" x14ac:dyDescent="0.25">
      <c r="A44" s="9" t="s">
        <v>43</v>
      </c>
      <c r="B44" s="94">
        <f t="shared" ref="B44:M44" si="6">B4+B5+B6+B8+B9</f>
        <v>0</v>
      </c>
      <c r="C44" s="94">
        <f t="shared" si="6"/>
        <v>0</v>
      </c>
      <c r="D44" s="94">
        <f t="shared" si="6"/>
        <v>0</v>
      </c>
      <c r="E44" s="94">
        <f t="shared" si="6"/>
        <v>0</v>
      </c>
      <c r="F44" s="94">
        <f t="shared" si="6"/>
        <v>0</v>
      </c>
      <c r="G44" s="94">
        <f t="shared" si="6"/>
        <v>0</v>
      </c>
      <c r="H44" s="94">
        <f t="shared" si="6"/>
        <v>0</v>
      </c>
      <c r="I44" s="94">
        <f t="shared" si="6"/>
        <v>0</v>
      </c>
      <c r="J44" s="94">
        <f t="shared" si="6"/>
        <v>0</v>
      </c>
      <c r="K44" s="94">
        <f t="shared" si="6"/>
        <v>0</v>
      </c>
      <c r="L44" s="94">
        <f t="shared" si="6"/>
        <v>0</v>
      </c>
      <c r="M44" s="94">
        <f t="shared" si="6"/>
        <v>0</v>
      </c>
      <c r="N44" s="23"/>
      <c r="O44" s="8"/>
      <c r="P44" s="14"/>
      <c r="Q44" s="5"/>
      <c r="R44" s="5"/>
      <c r="S44" s="5"/>
    </row>
    <row r="45" spans="1:19" x14ac:dyDescent="0.25">
      <c r="A45" s="9" t="s">
        <v>33</v>
      </c>
      <c r="B45" s="94">
        <f t="shared" ref="B45:M45" si="7">B14</f>
        <v>0</v>
      </c>
      <c r="C45" s="94">
        <f t="shared" si="7"/>
        <v>0</v>
      </c>
      <c r="D45" s="94">
        <f t="shared" si="7"/>
        <v>0</v>
      </c>
      <c r="E45" s="94">
        <f t="shared" si="7"/>
        <v>0</v>
      </c>
      <c r="F45" s="94">
        <f t="shared" si="7"/>
        <v>0</v>
      </c>
      <c r="G45" s="94">
        <f t="shared" si="7"/>
        <v>0</v>
      </c>
      <c r="H45" s="94">
        <f t="shared" si="7"/>
        <v>0</v>
      </c>
      <c r="I45" s="94">
        <f t="shared" si="7"/>
        <v>0</v>
      </c>
      <c r="J45" s="94">
        <f t="shared" si="7"/>
        <v>0</v>
      </c>
      <c r="K45" s="94">
        <f t="shared" si="7"/>
        <v>0</v>
      </c>
      <c r="L45" s="94">
        <f t="shared" si="7"/>
        <v>0</v>
      </c>
      <c r="M45" s="94">
        <f t="shared" si="7"/>
        <v>0</v>
      </c>
      <c r="N45" s="5"/>
      <c r="O45" s="8"/>
      <c r="P45" s="14"/>
      <c r="Q45" s="5"/>
      <c r="R45" s="5"/>
      <c r="S45" s="5"/>
    </row>
    <row r="46" spans="1:19" x14ac:dyDescent="0.25">
      <c r="A46" s="63" t="s">
        <v>44</v>
      </c>
      <c r="B46" s="110">
        <f>($B$138+$B$11)/12</f>
        <v>0</v>
      </c>
      <c r="C46" s="110">
        <f>($B$138+$B$11)/12+($C$11+$C$138)/11</f>
        <v>0</v>
      </c>
      <c r="D46" s="110">
        <f>($B$138+$B$11)/12+($C$11+$C$138)/11+($D$11+$D$138)/10</f>
        <v>0</v>
      </c>
      <c r="E46" s="110">
        <f>($B$138+$B$11)/12+($C$11+$C$138)/11+($D$11+$D$138)/10+($E$11+$E$138)/9</f>
        <v>0</v>
      </c>
      <c r="F46" s="110">
        <f>($B$138+$B$11)/12+($C$11+$C$138)/11+($D$11+$D$138)/10+($E$11+$E$138)/9+($F$11+$F$138)/8</f>
        <v>0</v>
      </c>
      <c r="G46" s="110">
        <f>($B$138+$B$11)/12+($C$11+$C$138)/11+($D$11+$D$138)/10+($E$11+$E$138)/9+($F$11+$F$138)/8+($G$11+$G$138)/7</f>
        <v>0</v>
      </c>
      <c r="H46" s="110">
        <f>($B$138+$B$11)/12+($C$11+$C$138)/11+($D$11+$D$138)/10+($E$11+$E$138)/9+($F$11+$F$138)/8+($G$11+$G$138)/7+($H$11+$H$138)/6</f>
        <v>0</v>
      </c>
      <c r="I46" s="110">
        <f>($B$138+$B$11)/12+($C$11+$C$138)/11+($D$11+$D$138)/10+($E$11+$E$138)/9+($F$11+$F$138)/8+($G$11+$G$138)/7+($H$11+$H$138)/6+($I$11+$I$138)/5</f>
        <v>0</v>
      </c>
      <c r="J46" s="110">
        <f>($B$138+$B$11)/12+($C$11+$C$138)/11+($D$11+$D$138)/10+($E$11+$E$138)/9+($F$11+$F$138)/8+($G$11+$G$138)/7+($H$11+$H$138)/6+($I$11+$I$138)/5+($J$11+$J$138)/4</f>
        <v>0</v>
      </c>
      <c r="K46" s="110">
        <f>($B$138+$B$11)/12+($C$11+$C$138)/11+($D$11+$D$138)/10+($E$11+$E$138)/9+($F$11+$F$138)/8+($G$11+$G$138)/7+($H$11+$H$138)/6+($I$11+$I$138)/5+($J$11+$J$138)/4+($K$11+$K$138)/3</f>
        <v>0</v>
      </c>
      <c r="L46" s="110">
        <f>($B$138+$B$11)/12+($C$11+$C$138)/11+($D$11+$D$138)/10+($E$11+$E$138)/9+($F$11+$F$138)/8+($G$11+$G$138)/7+($H$11+$H$138)/6+($I$11+$I$138)/5+($J$11+$J$138)/4+($K$11+$K$138)/3+(L$11+$L$138)/2</f>
        <v>0</v>
      </c>
      <c r="M46" s="110">
        <f>($B$138+$B$11)/12+($C$11+$C$138)/11+($D$11+$D$138)/10+($E$11+$E$138)/9+($F$11+$F$138)/8+($G$11+$G$138)/7+($H$11+$H$138)/6+($I$11+$I$138)/5+($J$11+$J$138)/4+($K$11+$K$138)/3+(M$11+$L$138)/2+($M$11+$M$138)</f>
        <v>0</v>
      </c>
      <c r="N46" s="5"/>
      <c r="O46" s="8"/>
      <c r="P46" s="14"/>
      <c r="Q46" s="5"/>
      <c r="R46" s="5"/>
      <c r="S46" s="5"/>
    </row>
    <row r="47" spans="1:19" x14ac:dyDescent="0.25">
      <c r="A47" s="63" t="s">
        <v>35</v>
      </c>
      <c r="B47" s="110">
        <f>$B$15/12</f>
        <v>0</v>
      </c>
      <c r="C47" s="110">
        <f>$B$15/12+$C$15/11</f>
        <v>0</v>
      </c>
      <c r="D47" s="110">
        <f>$B$15/12+$C$15/11+$D$15/10</f>
        <v>0</v>
      </c>
      <c r="E47" s="110">
        <f>$B$15/12+$C$15/11+$D$15/10+$E$15/9</f>
        <v>0</v>
      </c>
      <c r="F47" s="110">
        <f>$B$15/12+$C$15/11+$D$15/10+$E$15/9+$F$15/8</f>
        <v>0</v>
      </c>
      <c r="G47" s="110">
        <f>$B$15/12+$C$15/11+$D$15/10+$E$15/9+$F$15/8+$G$15/7</f>
        <v>0</v>
      </c>
      <c r="H47" s="110">
        <f>$B$15/12+$C$15/11+$D$15/10+$E$15/9+$F$15/8+$G$15/7+$H$15/6</f>
        <v>0</v>
      </c>
      <c r="I47" s="110">
        <f>$B$15/12+$C$15/11+$D$15/10+$E$15/9+$F$15/8+$G$15/7+$H$15/6+$I$15/5</f>
        <v>0</v>
      </c>
      <c r="J47" s="110">
        <f>$B$15/12+$C$15/11+$D$15/10+$E$15/9+$F$15/8+$G$15/7+$H$15/6+$I$15/5+$J$15/4</f>
        <v>0</v>
      </c>
      <c r="K47" s="110">
        <f>$B$15/12+$C$15/11+$D$15/10+$E$15/9+$F$15/8+$G$15/7+$H$15/6+$I$15/5+$J$15/4+$K$15/3</f>
        <v>0</v>
      </c>
      <c r="L47" s="110">
        <f>$B$15/12+$C$15/11+$D$15/10+$E$15/9+$F$15/8+$G$15/7+$H$15/6+$I$15/5+$J$15/4+$K$15/3+$L$15/2</f>
        <v>0</v>
      </c>
      <c r="M47" s="110">
        <f>$B$15/12+$C$15/11+$D$15/10+$E$15/9+$F$15/8+$G$15/7+$H$15/6+$I$15/5+$J$15/4+$K$15/3+$L$15/2+$M$15</f>
        <v>0</v>
      </c>
      <c r="N47" s="5"/>
      <c r="O47" s="8"/>
      <c r="P47" s="14"/>
      <c r="Q47" s="5"/>
      <c r="R47" s="5"/>
      <c r="S47" s="5"/>
    </row>
    <row r="48" spans="1:19" x14ac:dyDescent="0.25">
      <c r="A48" s="66" t="s">
        <v>45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5"/>
      <c r="O48" s="8"/>
      <c r="P48" s="14"/>
      <c r="Q48" s="5"/>
      <c r="R48" s="5"/>
      <c r="S48" s="5"/>
    </row>
    <row r="49" spans="1:19" x14ac:dyDescent="0.25">
      <c r="A49" s="62" t="s">
        <v>43</v>
      </c>
      <c r="B49" s="97">
        <f t="shared" ref="B49:M49" si="8">B28+B29</f>
        <v>0</v>
      </c>
      <c r="C49" s="97">
        <f t="shared" si="8"/>
        <v>0</v>
      </c>
      <c r="D49" s="97">
        <f t="shared" si="8"/>
        <v>0</v>
      </c>
      <c r="E49" s="97">
        <f t="shared" si="8"/>
        <v>0</v>
      </c>
      <c r="F49" s="97">
        <f t="shared" si="8"/>
        <v>0</v>
      </c>
      <c r="G49" s="97">
        <f t="shared" si="8"/>
        <v>0</v>
      </c>
      <c r="H49" s="97">
        <f t="shared" si="8"/>
        <v>0</v>
      </c>
      <c r="I49" s="97">
        <f t="shared" si="8"/>
        <v>0</v>
      </c>
      <c r="J49" s="97">
        <f t="shared" si="8"/>
        <v>0</v>
      </c>
      <c r="K49" s="97">
        <f t="shared" si="8"/>
        <v>0</v>
      </c>
      <c r="L49" s="97">
        <f t="shared" si="8"/>
        <v>0</v>
      </c>
      <c r="M49" s="97">
        <f t="shared" si="8"/>
        <v>0</v>
      </c>
      <c r="N49" s="5"/>
      <c r="O49" s="8"/>
      <c r="P49" s="14"/>
      <c r="Q49" s="5"/>
      <c r="R49" s="5"/>
      <c r="S49" s="5"/>
    </row>
    <row r="50" spans="1:19" x14ac:dyDescent="0.25">
      <c r="A50" s="62" t="s">
        <v>33</v>
      </c>
      <c r="B50" s="97">
        <f>B30</f>
        <v>0</v>
      </c>
      <c r="C50" s="97">
        <f t="shared" ref="C50:M50" si="9">C30</f>
        <v>0</v>
      </c>
      <c r="D50" s="97">
        <f t="shared" si="9"/>
        <v>0</v>
      </c>
      <c r="E50" s="97">
        <f t="shared" si="9"/>
        <v>0</v>
      </c>
      <c r="F50" s="97">
        <f t="shared" si="9"/>
        <v>0</v>
      </c>
      <c r="G50" s="97">
        <f t="shared" si="9"/>
        <v>0</v>
      </c>
      <c r="H50" s="97">
        <f t="shared" si="9"/>
        <v>0</v>
      </c>
      <c r="I50" s="97">
        <f t="shared" si="9"/>
        <v>0</v>
      </c>
      <c r="J50" s="97">
        <f t="shared" si="9"/>
        <v>0</v>
      </c>
      <c r="K50" s="97">
        <f t="shared" si="9"/>
        <v>0</v>
      </c>
      <c r="L50" s="97">
        <f t="shared" si="9"/>
        <v>0</v>
      </c>
      <c r="M50" s="97">
        <f t="shared" si="9"/>
        <v>0</v>
      </c>
      <c r="N50" s="5"/>
      <c r="O50" s="8"/>
      <c r="P50" s="14"/>
      <c r="Q50" s="5"/>
      <c r="R50" s="5"/>
      <c r="S50" s="5"/>
    </row>
    <row r="51" spans="1:19" x14ac:dyDescent="0.25">
      <c r="A51" s="62" t="s">
        <v>44</v>
      </c>
      <c r="B51" s="110">
        <f>($B$139+$B$32)/12</f>
        <v>0</v>
      </c>
      <c r="C51" s="110">
        <f>($B$139+$B$32)/12+($C$139+$C$32)/11</f>
        <v>0</v>
      </c>
      <c r="D51" s="110">
        <f>($B$139+$B$32)/12+($C$32+$C$139)/11+($D$32+$D$139)/10</f>
        <v>0</v>
      </c>
      <c r="E51" s="110">
        <f>($B$139+$B$32)/12+($C$32+$C$139)/11+($D$32+$D$139)/10+($E$32+$E$139)/9</f>
        <v>0</v>
      </c>
      <c r="F51" s="110">
        <f>($B$139+$B$32)/12+($C$32+$C$139)/11+($D$32+$D$139)/10+($E$32+$E$139)/9+($F$32+$F$139)/8</f>
        <v>0</v>
      </c>
      <c r="G51" s="110">
        <f>($B$139+$B$32)/12+($C$32+$C$139)/11+($D$32+$D$139)/10+($E$32+$E$139)/9+($F$32+$F$139)/8+($G$32+$G$139)/7</f>
        <v>0</v>
      </c>
      <c r="H51" s="110">
        <f>($B$139+$B$32)/12+($C$32+$C$139)/11+($D$32+$D$139)/10+($E$32+$E$139)/9+($F$32+$F$139)/8+($G$32+$G$139)/7+($H$32+$H$139)/6</f>
        <v>0</v>
      </c>
      <c r="I51" s="110">
        <f>($B$139+$B$32)/12+($C$32+$C$139)/11+($D$32+$D$139)/10+($E$32+$E$139)/9+($F$32+$F$139)/8+($G$32+$G$139)/7+($H$32+$H$139)/6+($I$32+$I$139)/5</f>
        <v>0</v>
      </c>
      <c r="J51" s="110">
        <f>($B$139+$B$32)/12+($C$32+$C$139)/11+($D$32+$D$139)/10+($E$32+$E$139)/9+($F$32+$F$139)/8+($G$32+$G$139)/7+($H$32+$H$139)/6+($I$32+$I$139)/5+($J$32+$J$139)/4</f>
        <v>0</v>
      </c>
      <c r="K51" s="110">
        <f>($B$139+$B$32)/12+($C$32+$C$139)/11+($D$32+$D$139)/10+($E$32+$E$139)/9+($F$32+$F$139)/8+($G$32+$G$139)/7+($H$32+$H$139)/6+($I$32+$I$139)/5+($J$32+$J$139)/4+($K$32+$K$139)/3</f>
        <v>0</v>
      </c>
      <c r="L51" s="110">
        <f>($B$139+$B$32)/12+($C$32+$C$139)/11+($D$32+$D$139)/10+($E$32+$E$139)/9+($F$32+$F$139)/8+($G$32+$G$139)/7+($H$32+$H$139)/6+($I$32+$I$139)/5+($J$32+$J$139)/4+($K$32+$K$139)/3+(L$32+$L$139)/2</f>
        <v>0</v>
      </c>
      <c r="M51" s="110">
        <f>($B$139+$B$32)/12+($C$32+$C$139)/11+($D$32+$D$139)/10+($E$32+$E$139)/9+($F$32+$F$139)/8+($G$32+$G$139)/7+($H$32+$H$139)/6+($I$32+$I$139)/5+($J$32+$J$139)/4+($K$32+$K$139)/3+(L$32+$L$139)/2+($M$32+$M$139)</f>
        <v>0</v>
      </c>
      <c r="N51" s="5"/>
      <c r="O51" s="10"/>
      <c r="P51" s="14"/>
      <c r="Q51" s="5"/>
      <c r="R51" s="5"/>
      <c r="S51" s="5"/>
    </row>
    <row r="52" spans="1:19" ht="15.75" customHeight="1" x14ac:dyDescent="0.25">
      <c r="A52" s="62" t="s">
        <v>35</v>
      </c>
      <c r="B52" s="110">
        <f>$B$33/12</f>
        <v>0</v>
      </c>
      <c r="C52" s="110">
        <f>$B$33/12+$C$33/11</f>
        <v>0</v>
      </c>
      <c r="D52" s="110">
        <f>$B$33/12+$C$33/11+$D$33/10</f>
        <v>0</v>
      </c>
      <c r="E52" s="110">
        <f>$B$33/12+$C$33/11+$D$33/10+$E$33/9</f>
        <v>0</v>
      </c>
      <c r="F52" s="110">
        <f>$B$33/12+$C$33/11+$D$33/10+$E$33/9+$F$33/8</f>
        <v>0</v>
      </c>
      <c r="G52" s="110">
        <f>$B$33/12+$C$33/11+$D$33/10+$E$33/9+$F$33/8+$G$33/7</f>
        <v>0</v>
      </c>
      <c r="H52" s="110">
        <f>$B$33/12+$C$33/11+$D$33/10+$E$33/9+$F$33/8+$G$33/7+$H$33/6</f>
        <v>0</v>
      </c>
      <c r="I52" s="110">
        <f>$B$33/12+$C$33/11+$D$33/10+$E$33/9+$F$33/8+$G$33/7+$H$33/6+$I$33/5</f>
        <v>0</v>
      </c>
      <c r="J52" s="110">
        <f>$B$33/12+$C$33/11+$D$33/10+$E$33/9+$F$33/8+$G$33/7+$H$33/6+$I$33/5+$J$33/4</f>
        <v>0</v>
      </c>
      <c r="K52" s="110">
        <f>$B$33/12+$C$33/11+$D$33/10+$E$33/9+$F$33/8+$G$33/7+$H$33/6+$I$33/5+$J$33/4+$K$33/3</f>
        <v>0</v>
      </c>
      <c r="L52" s="110">
        <f>$B$33/12+$C$33/11+$D$33/10+$E$33/9+$F$33/8+$G$33/7+$H$33/6+$I$33/5+$J$33/4+$K$33/3+$L$33/2</f>
        <v>0</v>
      </c>
      <c r="M52" s="110">
        <f>$B$33/12+$C$33/11+$D$33/10+$E$33/9+$F$33/8+$G$33/7+$H$33/6+$I$33/5+$J$33/4+$K$33/3+$L$33/2+$M$33</f>
        <v>0</v>
      </c>
      <c r="N52" s="5"/>
      <c r="O52" s="10"/>
      <c r="P52" s="14"/>
      <c r="Q52" s="5"/>
      <c r="R52" s="5"/>
      <c r="S52" s="5"/>
    </row>
    <row r="53" spans="1:19" x14ac:dyDescent="0.25">
      <c r="A53" s="30" t="s">
        <v>46</v>
      </c>
      <c r="B53" s="112">
        <f t="shared" ref="B53:M53" si="10">SUM(B44:B52)</f>
        <v>0</v>
      </c>
      <c r="C53" s="112">
        <f t="shared" si="10"/>
        <v>0</v>
      </c>
      <c r="D53" s="112">
        <f t="shared" si="10"/>
        <v>0</v>
      </c>
      <c r="E53" s="112">
        <f t="shared" si="10"/>
        <v>0</v>
      </c>
      <c r="F53" s="112">
        <f t="shared" si="10"/>
        <v>0</v>
      </c>
      <c r="G53" s="112">
        <f t="shared" si="10"/>
        <v>0</v>
      </c>
      <c r="H53" s="112">
        <f t="shared" si="10"/>
        <v>0</v>
      </c>
      <c r="I53" s="112">
        <f t="shared" si="10"/>
        <v>0</v>
      </c>
      <c r="J53" s="112">
        <f t="shared" si="10"/>
        <v>0</v>
      </c>
      <c r="K53" s="112">
        <f t="shared" si="10"/>
        <v>0</v>
      </c>
      <c r="L53" s="112">
        <f t="shared" si="10"/>
        <v>0</v>
      </c>
      <c r="M53" s="112">
        <f t="shared" si="10"/>
        <v>0</v>
      </c>
      <c r="N53" s="5"/>
      <c r="O53" s="10"/>
      <c r="P53" s="14"/>
      <c r="Q53" s="5"/>
      <c r="R53" s="5"/>
      <c r="S53" s="5"/>
    </row>
    <row r="54" spans="1:19" x14ac:dyDescent="0.25">
      <c r="A54" s="58" t="s">
        <v>47</v>
      </c>
      <c r="B54" s="97">
        <f>IF(B39&gt;225937,B53/12,0)</f>
        <v>0</v>
      </c>
      <c r="C54" s="97">
        <f>IF(C39&gt;225937,C53/12,0)</f>
        <v>0</v>
      </c>
      <c r="D54" s="97">
        <f>IF(D39&gt;225937,D53/12,0)</f>
        <v>0</v>
      </c>
      <c r="E54" s="97">
        <f>IF(E39&gt;225937,E53/12,0)</f>
        <v>0</v>
      </c>
      <c r="F54" s="97">
        <f>IF(F39&gt;225937,F53/12,0)</f>
        <v>0</v>
      </c>
      <c r="G54" s="113"/>
      <c r="H54" s="97">
        <f>IF(H39&gt;225937,H53/12,0)</f>
        <v>0</v>
      </c>
      <c r="I54" s="97">
        <f>IF(I39&gt;225937,I53/12,0)</f>
        <v>0</v>
      </c>
      <c r="J54" s="97">
        <f>IF(J39&gt;225937,J53/12,0)</f>
        <v>0</v>
      </c>
      <c r="K54" s="97">
        <f>IF(K39&gt;225937,K53/12,0)</f>
        <v>0</v>
      </c>
      <c r="L54" s="97">
        <f>IF(L39&gt;225937,L53/12,0)</f>
        <v>0</v>
      </c>
      <c r="M54" s="96"/>
      <c r="N54" s="5"/>
      <c r="O54" s="10"/>
      <c r="P54" s="14"/>
      <c r="Q54" s="5"/>
      <c r="R54" s="5"/>
      <c r="S54" s="5"/>
    </row>
    <row r="55" spans="1:19" x14ac:dyDescent="0.25">
      <c r="A55" s="32" t="s">
        <v>48</v>
      </c>
      <c r="B55" s="96"/>
      <c r="C55" s="96"/>
      <c r="D55" s="96"/>
      <c r="E55" s="96"/>
      <c r="F55" s="96"/>
      <c r="G55" s="97">
        <f>IF(G39&lt;=225937,IF(G12+G35&gt;112968.5, G12+G35-112968.5-SUM(B54:F54),IF(G12+G35&gt;0,0-SUM(B54:F54),0)),IF(G12+G35&gt;0,G12+G35-SUM(B54:F54),0))</f>
        <v>0</v>
      </c>
      <c r="H55" s="96"/>
      <c r="I55" s="96"/>
      <c r="J55" s="96"/>
      <c r="K55" s="96"/>
      <c r="L55" s="96"/>
      <c r="M55" s="110">
        <f>IF($M$39&lt;=225937,IF((M12+M35)&gt;112968.5, M12+M35-112968.5-SUM(H54:L54),0-SUM(H54:L54)),IF(M12+M35&gt;0,M12+M35-SUM(H54:L54),0))</f>
        <v>0</v>
      </c>
      <c r="N55" s="5"/>
      <c r="O55" s="10"/>
      <c r="P55" s="14"/>
      <c r="Q55" s="5"/>
      <c r="R55" s="5"/>
      <c r="S55" s="5"/>
    </row>
    <row r="56" spans="1:19" x14ac:dyDescent="0.25">
      <c r="A56" s="30" t="s">
        <v>49</v>
      </c>
      <c r="B56" s="112">
        <f>B53+B54+B55</f>
        <v>0</v>
      </c>
      <c r="C56" s="112">
        <f t="shared" ref="C56:M56" si="11">C53+C54+C55</f>
        <v>0</v>
      </c>
      <c r="D56" s="112">
        <f t="shared" si="11"/>
        <v>0</v>
      </c>
      <c r="E56" s="112">
        <f t="shared" si="11"/>
        <v>0</v>
      </c>
      <c r="F56" s="112">
        <f t="shared" si="11"/>
        <v>0</v>
      </c>
      <c r="G56" s="112">
        <f t="shared" si="11"/>
        <v>0</v>
      </c>
      <c r="H56" s="112">
        <f t="shared" si="11"/>
        <v>0</v>
      </c>
      <c r="I56" s="112">
        <f t="shared" si="11"/>
        <v>0</v>
      </c>
      <c r="J56" s="112">
        <f t="shared" si="11"/>
        <v>0</v>
      </c>
      <c r="K56" s="112">
        <f t="shared" si="11"/>
        <v>0</v>
      </c>
      <c r="L56" s="112">
        <f t="shared" si="11"/>
        <v>0</v>
      </c>
      <c r="M56" s="112">
        <f t="shared" si="11"/>
        <v>0</v>
      </c>
      <c r="N56" s="5"/>
      <c r="O56" s="10"/>
      <c r="P56" s="14"/>
      <c r="Q56" s="5"/>
      <c r="R56" s="5"/>
      <c r="S56" s="5"/>
    </row>
    <row r="57" spans="1:19" x14ac:dyDescent="0.25">
      <c r="A57" s="64" t="s">
        <v>50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5"/>
      <c r="O57" s="10"/>
      <c r="P57" s="14"/>
      <c r="Q57" s="5"/>
      <c r="R57" s="5"/>
      <c r="S57" s="5"/>
    </row>
    <row r="58" spans="1:19" x14ac:dyDescent="0.25">
      <c r="A58" s="58" t="s">
        <v>25</v>
      </c>
      <c r="B58" s="114">
        <f>IF(B44+B46+B49+B51+B54+B55&gt;318103.83,(318103.83*$C$142), (B44+B46+B49+B51+B54+B55)*$C$142)</f>
        <v>0</v>
      </c>
      <c r="C58" s="114">
        <f>IF(C44+C46+C49+C51+C54+C55&gt;318103.83,(318103.83*$C$142), (C44+C46+C49+C51+C54+C55)*$C$142)</f>
        <v>0</v>
      </c>
      <c r="D58" s="114">
        <f>IF(D44+D46+D49+D51+D54+D55&gt;357166.98,(357166.98*$C$142), (D44+D46+D49+D51+D54+D55)*$C$142)</f>
        <v>0</v>
      </c>
      <c r="E58" s="114">
        <f>IF(E44+E46+E49+E51+E54+E55&gt;357166.98,(357166.98*$C$142), (E44+E46+E49+E51+E54+E55)*$C$142)</f>
        <v>0</v>
      </c>
      <c r="F58" s="114">
        <f>IF(F44+F46+F49+F51+F54+F55&gt;357166.98,(357166.98*$C$142),(F44+F46+F49+F51+F54+F55)*$C$142)</f>
        <v>0</v>
      </c>
      <c r="G58" s="114">
        <f t="shared" ref="G58:M58" si="12">IF(G44+G46+G49+G51+G54+G55&gt;357166.98,(357166.98*$C$142), (G44+G46+G49+G51+G54+G55)*$C$142)</f>
        <v>0</v>
      </c>
      <c r="H58" s="114">
        <f t="shared" si="12"/>
        <v>0</v>
      </c>
      <c r="I58" s="114">
        <f t="shared" si="12"/>
        <v>0</v>
      </c>
      <c r="J58" s="114">
        <f t="shared" si="12"/>
        <v>0</v>
      </c>
      <c r="K58" s="114">
        <f t="shared" si="12"/>
        <v>0</v>
      </c>
      <c r="L58" s="114">
        <f t="shared" si="12"/>
        <v>0</v>
      </c>
      <c r="M58" s="114">
        <f t="shared" si="12"/>
        <v>0</v>
      </c>
      <c r="N58" s="5"/>
      <c r="O58" s="10"/>
      <c r="P58" s="14"/>
      <c r="Q58" s="5"/>
      <c r="R58" s="5"/>
      <c r="S58" s="5"/>
    </row>
    <row r="59" spans="1:19" x14ac:dyDescent="0.25">
      <c r="A59" s="58" t="s">
        <v>26</v>
      </c>
      <c r="B59" s="114">
        <f>IF($B$44+$B$46+$B$49+$B$51+$B$54+$B$55&gt;318103.83,(318103.83*$C$143), ($B$44+$B$46+$B$49+$B$51+$B$54+$B$55)*$C$143)</f>
        <v>0</v>
      </c>
      <c r="C59" s="114">
        <f>IF($C$44+$C$46+$C$49+$C$51+$C$54+$C$55&gt;318103.83,(318103.83*$C$143), ($C$44+$C$46+$C$49+$C$51+$C$54+$C$55)*$C$143)</f>
        <v>0</v>
      </c>
      <c r="D59" s="114">
        <f>IF($D$44+$D$46+$D$49+$D$51+$D$54+$D$55&gt;357166.98,(357166.98*$C$143), ($D$44+$D$46+$D$49+$D$51+$D$54+$D$55)*$C$143)</f>
        <v>0</v>
      </c>
      <c r="E59" s="114">
        <f>IF($E$44+$E$46+$E$49+$E$51+$E$54+$E$55&gt;357166.98,(357166.98*$C$143), ($E$44+$E$46+$E$49+$E$51+$E$54+$E$55)*$C$143)</f>
        <v>0</v>
      </c>
      <c r="F59" s="114">
        <f>IF($F$44+$F$46+$F$49+$F$51+$F$54+$F$55&gt;357166.98,(357166.98*$C$143), ($F$44+$F$46+$F$49+$F$51+$F$54+$F$55)*$C$143)</f>
        <v>0</v>
      </c>
      <c r="G59" s="114">
        <f>IF($G$44+$G$46+$G$49+$G$51+$G$54+$G$55&gt;357166.98,(357166.98*$C$143), ($G$44+$G$46+$G$49+$G$51+$G$54+$G$55)*$C$143)</f>
        <v>0</v>
      </c>
      <c r="H59" s="114">
        <f>IF($H$44+$H$46+$H$49+$H$51+$H$54+$H$55&gt;357166.98,(357166.98*$C$143), ($H$44+$H$46+$H$49+$H$51+$H$54+$H$55)*$C$143)</f>
        <v>0</v>
      </c>
      <c r="I59" s="114">
        <f>IF($I$44+$I$46+$I$49+$I$51+$I$54+$I$55&gt;357166.98,(357166.98*$C$143), ($I$44+$I$46+$I$49+$I$51+$I$54+$I$55)*$C$143)</f>
        <v>0</v>
      </c>
      <c r="J59" s="114">
        <f>IF($J$44+$J$46+$J$49+$J$51+$J$54+$J$55&gt;357166.98,(357166.98*$C$143), ($J$44+$J$46+$J$49+$J$51+$J$54+$J$55)*$C$143)</f>
        <v>0</v>
      </c>
      <c r="K59" s="114">
        <f>IF($K$44+$K$46+$K$49+$K$51+$K$54+$K$55&gt;357166.98,(357166.98*$C$143), ($K$44+$K$46+$K$49+$K$51+$K$54+$K$55)*$C$143)</f>
        <v>0</v>
      </c>
      <c r="L59" s="114">
        <f>IF($L$44+$L$46+$L$49+$L$51+$L$54+$L$55&gt;357166.98,(357166.98*$C$143), ($L$44+$L$46+$L$49+$L$51+$L$54+$L$55)*$C$143)</f>
        <v>0</v>
      </c>
      <c r="M59" s="114">
        <f>IF($M$44+$M$46+$M$49+$M$51+$M$54+$M$55&gt;357166.98,(357166.98*$C$143), ($M$44+$M$46+$M$49+$M$51+$M$54+$M$55)*$C$143)</f>
        <v>0</v>
      </c>
      <c r="N59" s="5"/>
      <c r="O59" s="10"/>
      <c r="P59" s="14"/>
      <c r="Q59" s="5"/>
      <c r="R59" s="5"/>
      <c r="S59" s="5"/>
    </row>
    <row r="60" spans="1:19" x14ac:dyDescent="0.25">
      <c r="A60" s="58" t="s">
        <v>27</v>
      </c>
      <c r="B60" s="114">
        <f>IF($B$44+$B$46+$B$49+$B$51+$B$54+$B$55&gt;318103.83,(318103.83*$C$144), ($B$44+$B$46+$B$49+$B$51+$B$54+$B$55)*$C$144)</f>
        <v>0</v>
      </c>
      <c r="C60" s="114">
        <f>IF($C$44+$C$46+$C$49+$C$51+$C$54+$C$55&gt;318103.83,(318103.83*$C$144), ($C$44+$C$46+$C$49+$C$51+$C$54+$C$55)*$C$144)</f>
        <v>0</v>
      </c>
      <c r="D60" s="114">
        <f>IF($D$44+$D$46+$D$49+$D$51+$D$54+$D$55&gt;357166.98,(357166.98*$C$144), ($D$44+$D$46+$D$49+$D$51+$D$54+$D$55)*$C$144)</f>
        <v>0</v>
      </c>
      <c r="E60" s="114">
        <f>IF($E$44+$E$46+$E$49+$E$51+$E$54+$E$55&gt;357166.98,(357166.98*$C$144), ($E$44+$E$46+$E$49+$E$51+$E$54+$E$55)*$C$144)</f>
        <v>0</v>
      </c>
      <c r="F60" s="114">
        <f>IF($F$44+$F$46+$F$49+$F$51+$F$54+$F$55&gt;357166.98,(357166.98*$C$144), ($F$44+$F$46+$F$49+$F$51+$F$54+$F$55)*$C$144)</f>
        <v>0</v>
      </c>
      <c r="G60" s="114">
        <f>IF($G$44+$G$46+$G$49+$G$51+$G$54+$G$55&gt;357166.98,(357166.98*$C$144), ($G$44+$G$46+$G$49+$G$51+$G$54+$G$55)*$C$144)</f>
        <v>0</v>
      </c>
      <c r="H60" s="114">
        <f>IF($H$44+$H$46+$H$49+$H$51+$H$54+$H$55&gt;357166.98,(357166.98*$C$144), ($H$44+$H$46+$H$49+$H$51+$H$54+$H$55)*$C$144)</f>
        <v>0</v>
      </c>
      <c r="I60" s="114">
        <f>IF($I$44+$I$46+$I$49+$I$51+$I$54+$I$55&gt;357166.98,(357166.98*$C$144), ($I$44+$I$46+$I$49+$I$51+$I$54+$I$55)*$C$144)</f>
        <v>0</v>
      </c>
      <c r="J60" s="114">
        <f>IF($J$44+$J$46+$J$49+$J$51+$J$54+$J$55&gt;357166.98,(357166.98*$C$144), ($J$44+$J$46+$J$49+$J$51+$J$54+$J$55)*$C$144)</f>
        <v>0</v>
      </c>
      <c r="K60" s="114">
        <f>IF($K$44+$K$46+$K$49+$K$51+$K$54+$K$55&gt;357166.98,(357166.98*$C$144), ($K$44+$K$46+$K$49+$K$51+$K$54+$K$55)*$C$144)</f>
        <v>0</v>
      </c>
      <c r="L60" s="114">
        <f>IF($L$44+$L$46+$L$49+$L$51+$L$54+$L$55&gt;357166.98,(357166.98*$C$144), ($L$44+$L$46+$L$49+$L$51+$L$54+$L$55)*$C$144)</f>
        <v>0</v>
      </c>
      <c r="M60" s="114">
        <f>IF($M$44+$M$46+$M$49+$M$51+$M$54+$M$55&gt;357166.98,(357166.98*$C$144), ($M$44+$M$46+$M$49+$M$51+$M$54+$M$55)*$C$144)</f>
        <v>0</v>
      </c>
      <c r="N60" s="5"/>
      <c r="O60" s="10"/>
      <c r="P60" s="14"/>
      <c r="Q60" s="5"/>
      <c r="R60" s="5"/>
      <c r="S60" s="5"/>
    </row>
    <row r="61" spans="1:19" x14ac:dyDescent="0.25">
      <c r="A61" s="58" t="s">
        <v>28</v>
      </c>
      <c r="B61" s="115">
        <f>+B20</f>
        <v>0</v>
      </c>
      <c r="C61" s="115">
        <f t="shared" ref="C61:M61" si="13">+C20</f>
        <v>0</v>
      </c>
      <c r="D61" s="115">
        <f t="shared" si="13"/>
        <v>0</v>
      </c>
      <c r="E61" s="115">
        <f t="shared" si="13"/>
        <v>0</v>
      </c>
      <c r="F61" s="115">
        <f t="shared" si="13"/>
        <v>0</v>
      </c>
      <c r="G61" s="115">
        <f t="shared" si="13"/>
        <v>0</v>
      </c>
      <c r="H61" s="115">
        <f t="shared" si="13"/>
        <v>0</v>
      </c>
      <c r="I61" s="115">
        <f t="shared" si="13"/>
        <v>0</v>
      </c>
      <c r="J61" s="115">
        <f t="shared" si="13"/>
        <v>0</v>
      </c>
      <c r="K61" s="115">
        <f t="shared" si="13"/>
        <v>0</v>
      </c>
      <c r="L61" s="115">
        <f t="shared" si="13"/>
        <v>0</v>
      </c>
      <c r="M61" s="115">
        <f t="shared" si="13"/>
        <v>0</v>
      </c>
      <c r="N61" s="5"/>
      <c r="O61" s="10"/>
      <c r="P61" s="14"/>
      <c r="Q61" s="5"/>
      <c r="R61" s="5"/>
      <c r="S61" s="5"/>
    </row>
    <row r="62" spans="1:19" s="17" customFormat="1" x14ac:dyDescent="0.25">
      <c r="A62" s="61" t="s">
        <v>51</v>
      </c>
      <c r="B62" s="97">
        <f>IF(B108&gt;20000,20000,B108)</f>
        <v>0</v>
      </c>
      <c r="C62" s="97">
        <f>IF(SUM(B108:C108)&gt;20000,(20000-B62),C108)</f>
        <v>0</v>
      </c>
      <c r="D62" s="97">
        <f>IF(SUM(B108:D108)&gt;20000,(20000-B62-C62),D108)</f>
        <v>0</v>
      </c>
      <c r="E62" s="97">
        <f>IF(SUM(B108:E108)&gt;20000,(20000-B62-C62-D62),E108)</f>
        <v>0</v>
      </c>
      <c r="F62" s="97">
        <f>IF(SUM(B108:F108)&gt;20000,(20000-B62-C62-D62-E62),F108)</f>
        <v>0</v>
      </c>
      <c r="G62" s="97">
        <f>IF(SUM(B108:G108)&gt;20000,(20000-B62-C62-D62-E62-F62),G108)</f>
        <v>0</v>
      </c>
      <c r="H62" s="97">
        <f>IF(SUM(B108:H108)&gt;20000,(20000-B62-C62-D62-E62-F62-G62),H108)</f>
        <v>0</v>
      </c>
      <c r="I62" s="97">
        <f>IF(SUM(B108:I108)&gt;20000,(20000-B62-C62-D62-E62-F62-G62-H62),I108)</f>
        <v>0</v>
      </c>
      <c r="J62" s="97">
        <f>IF(SUM(B108:J108)&gt;20000,(20000-B62-C62-D62-E62-F62-G62-H62-I62),J108)</f>
        <v>0</v>
      </c>
      <c r="K62" s="97">
        <f>IF(SUM(B108:K108)&gt;20000,(20000-B62-C62-D62-E62-F62-G62-H62-I62-J62),K108)</f>
        <v>0</v>
      </c>
      <c r="L62" s="97">
        <f>IF(SUM(B108:L108)&gt;20000,(20000-B62-C62-D62-E62-F62-G62-H62-I62-J62-K62),L108)</f>
        <v>0</v>
      </c>
      <c r="M62" s="97">
        <f>IF(SUM(B108:M108)&gt;20000,(20000-B62-C62-D62-E62-F62-G62-H62-I62-J62-K62-L62),M108)</f>
        <v>0</v>
      </c>
      <c r="N62" s="16"/>
      <c r="O62" s="52"/>
      <c r="P62" s="53"/>
      <c r="Q62" s="16"/>
      <c r="R62" s="16"/>
      <c r="S62" s="16"/>
    </row>
    <row r="63" spans="1:19" x14ac:dyDescent="0.25">
      <c r="A63" s="61" t="s">
        <v>52</v>
      </c>
      <c r="B63" s="97">
        <f>IF(B110&gt;B75,B75,B110)</f>
        <v>0</v>
      </c>
      <c r="C63" s="97">
        <f>IF(SUM(B110:C110)&gt; C75, C75-B63,SUM(B110:C110)-B63)</f>
        <v>0</v>
      </c>
      <c r="D63" s="97">
        <f>IF(SUM(B110:D110)&gt; D75, D75-B63-C63,SUM(B110:D110)-B63-C63)</f>
        <v>0</v>
      </c>
      <c r="E63" s="97">
        <f>IF(SUM(B110:E110)&gt; E75, E75-B63-C63-D63,SUM(B110:E110)-B63-C63-D63)</f>
        <v>0</v>
      </c>
      <c r="F63" s="97">
        <f>IF(SUM(B110:F110)&gt; F75, F75-B63-C63-D63-E63,SUM(B110:F110)-B63-C63-D63-E63)</f>
        <v>0</v>
      </c>
      <c r="G63" s="97">
        <f>IF(SUM(B110:G110)&gt; G75, G75-B63-C63-D63-E63-F63,SUM(B110:G110)-B63-C63-D63-E63-F63)</f>
        <v>0</v>
      </c>
      <c r="H63" s="97">
        <f>IF(SUM(B110:H110)&gt; H75, H75-B63-C63-D63-E63-F63-G63,SUM(B110:H110)-B63-C63-D63-E63-F63-G63)</f>
        <v>0</v>
      </c>
      <c r="I63" s="97">
        <f>IF(SUM(B110:I110)&gt; I75, I75-B63-C63-D63-E63-F63-G63-H63,SUM(B110:I110)-B63-C63-D63-E63-F63-G63-H63)</f>
        <v>0</v>
      </c>
      <c r="J63" s="97">
        <f>IF(SUM(B110:J110)&gt; J75, J75-B63-C63-D63-E63-F63-G63-H63-I63,SUM(B110:J110)-B63-C63-D63-E63-F63-G63-H63-I63)</f>
        <v>0</v>
      </c>
      <c r="K63" s="97">
        <f>IF(SUM(B110:K110)&gt; K75, K75-B63-C63-D63-E63-F63-G63-H63-I63-J63,SUM(B110:K110)-B63-C63-D63-E63-F63-G63-H63-I63-J63)</f>
        <v>0</v>
      </c>
      <c r="L63" s="97">
        <f>IF(SUM(B110:L110)&gt; L75, L75-B63-C63-D63-E63-F63-G63-H63-I63-J63-K63,SUM(B110:L110)-B63-C63-D63-E63-F63-G63-H63-I63-J63-K63)</f>
        <v>0</v>
      </c>
      <c r="M63" s="97">
        <f>IF(SUM(B110:M110)&gt; M75, M75-B63-C63-D63-E63-F63-G63-H63-I63-J63-K63-L63,SUM(B110:M110)-B63-C63-D63-E63-F63-G63-H63-I63-J63-K63-L63)</f>
        <v>0</v>
      </c>
      <c r="N63" s="5"/>
      <c r="O63" s="10"/>
      <c r="P63" s="14"/>
      <c r="Q63" s="5"/>
      <c r="R63" s="5"/>
      <c r="S63" s="5"/>
    </row>
    <row r="64" spans="1:19" x14ac:dyDescent="0.25">
      <c r="A64" s="61" t="s">
        <v>53</v>
      </c>
      <c r="B64" s="97">
        <f>IF(B111&gt;B75,B75,B111)</f>
        <v>0</v>
      </c>
      <c r="C64" s="97">
        <f>IF(SUM(B111:C111)&gt; C75, C75-B64,SUM(B111:C111)-B64)</f>
        <v>0</v>
      </c>
      <c r="D64" s="97">
        <f>IF(SUM(B111:D111)&gt; D75, D75-B64-C64,SUM(B111:D111)-B64-C64)</f>
        <v>0</v>
      </c>
      <c r="E64" s="97">
        <f>IF(SUM(B111:E111)&gt; E75, E75-B64-C64-D64,SUM(B111:E111)-B64-C64-D64)</f>
        <v>0</v>
      </c>
      <c r="F64" s="97">
        <f>IF(SUM(B111:F111)&gt; F75, F75-B64-C64-D64-E64,SUM(B111:F111)-B64-C64-D64-E64)</f>
        <v>0</v>
      </c>
      <c r="G64" s="97">
        <f>IF(SUM(B111:G111)&gt; G75, G75-B64-C64-D64-E64-F64,SUM(B111:G111)-B64-C64-D64-E64-F64)</f>
        <v>0</v>
      </c>
      <c r="H64" s="97">
        <f>IF(SUM(B111:H111)&gt; H75, H75-B64-C64-D64-E64-F64-G64,SUM(B111:H111)-B64-C64-D64-E64-F64-G64)</f>
        <v>0</v>
      </c>
      <c r="I64" s="97">
        <f>IF(SUM(B111:I111)&gt; I75, I75-B64-C64-D64-E64-F64-G64-H64,SUM(B111:I111)-B64-C64-D64-E64-F64-G64-H64)</f>
        <v>0</v>
      </c>
      <c r="J64" s="97">
        <f>IF(SUM(B111:J111)&gt; J75, J75-B64-C64-D64-E64-F64-G64-H64-I64,SUM(B111:J111)-B64-C64-D64-E64-F64-G64-H64-I64)</f>
        <v>0</v>
      </c>
      <c r="K64" s="97">
        <f>IF(SUM(B111:K111)&gt; K75, K75-B64-C64-D64-E64-F64-G64-H64-I64-J64,SUM(B111:K111)-B64-C64-D64-E64-F64-G64-H64-I64-J64)</f>
        <v>0</v>
      </c>
      <c r="L64" s="97">
        <f>IF(SUM(B111:L111)&gt; L75, L75-B64-C64-D64-E64-F64-G64-H64-I64-J64-K64,SUM(B111:L111)-B64-C64-D64-E64-F64-G64-H64-I64-J64-K64)</f>
        <v>0</v>
      </c>
      <c r="M64" s="97">
        <f>IF(SUM(B111:M111)&gt; M75, M75-B64-C64-D64-E64-F64-G64-H64-I64-J64-K64-L64,SUM(B111:M111)-B64-C64-D64-E64-F64-G64-H64-I64-J64-K64-L64)</f>
        <v>0</v>
      </c>
      <c r="N64" s="5"/>
      <c r="O64" s="10"/>
      <c r="P64" s="14"/>
      <c r="Q64" s="5"/>
      <c r="R64" s="5"/>
      <c r="S64" s="5"/>
    </row>
    <row r="65" spans="1:19" x14ac:dyDescent="0.25">
      <c r="A65" s="62" t="s">
        <v>54</v>
      </c>
      <c r="B65" s="97">
        <f>IF(B112&gt;B113,B113,B112)</f>
        <v>0</v>
      </c>
      <c r="C65" s="97">
        <f>IF(SUM(B112:C112)&gt; C113, C113-B65,SUM(B112:C112)-B65)</f>
        <v>0</v>
      </c>
      <c r="D65" s="97">
        <f>IF(SUM(B112:D112)&gt; D113, D113-B65-C65,SUM(B112:D112)-B65-C65)</f>
        <v>0</v>
      </c>
      <c r="E65" s="97">
        <f>IF(SUM(B112:E112)&gt; E113, E113-B65-C65-D65,SUM(B112:E112)-B65-C65-D65)</f>
        <v>0</v>
      </c>
      <c r="F65" s="97">
        <f>IF(SUM(B112:F112)&gt; F113, F113-B65-C65-D65-E65,SUM(B112:F112)-B65-C65-D65-E65)</f>
        <v>0</v>
      </c>
      <c r="G65" s="97">
        <f>IF(SUM(B112:G112)&gt; G113, G113-B65-C65-D65-E65-F65,SUM(B112:G112)-B65-C65-D65-E65-F65)</f>
        <v>0</v>
      </c>
      <c r="H65" s="97">
        <f>IF(SUM(B112:H112)&gt; H113, H113-B65-C65-D65-E65-F65-G65,SUM(B112:H112)-B65-C65-D65-E65-F65-G65)</f>
        <v>0</v>
      </c>
      <c r="I65" s="97">
        <f>IF(SUM(B112:I112)&gt; I113, I113-B65-C65-D65-E65-F65-G65-H65,SUM(B112:I112)-B65-C65-D65-E65-F65-G65-H65)</f>
        <v>0</v>
      </c>
      <c r="J65" s="97">
        <f>IF(SUM(B112:J112)&gt; J113, J113-B65-C65-D65-E65-F65-G65-H65-I65,SUM(B112:J112)-B65-C65-D65-E65-F65-G65-H65-I65)</f>
        <v>0</v>
      </c>
      <c r="K65" s="97">
        <f>IF(SUM(B112:K112)&gt; K113, K113-B65-C65-D65-E65-F65-G65-H65-I65-J65,SUM(B112:K112)-B65-C65-D65-E65-F65-G65-H65-I65-J65)</f>
        <v>0</v>
      </c>
      <c r="L65" s="97">
        <f>IF(SUM(B112:L112)&gt; L113, L113-B65-C65-D65-E65-F65-G65-H65-I65-J65-K65,SUM(B112:L112)-B65-C65-D65-E65-F65-G65-H65-I65-J65-K65)</f>
        <v>0</v>
      </c>
      <c r="M65" s="97">
        <f>IF(SUM(B112:M112)&gt; M113, M113-B65-C65-D65-E65-F65-G65-H65-I65-J65-K65-L65,SUM(B112:M112)-B65-C65-D65-E65-F65-G65-H65-I65-J65-K65-L65)</f>
        <v>0</v>
      </c>
      <c r="N65" s="5"/>
      <c r="O65" s="10"/>
      <c r="P65" s="14"/>
      <c r="Q65" s="5"/>
      <c r="R65" s="5"/>
      <c r="S65" s="5"/>
    </row>
    <row r="66" spans="1:19" x14ac:dyDescent="0.25">
      <c r="A66" s="62" t="s">
        <v>55</v>
      </c>
      <c r="B66" s="97">
        <f>IF(B114&gt;B75,B75,B114)</f>
        <v>0</v>
      </c>
      <c r="C66" s="97">
        <f>IF(SUM(B114:C114)&gt; C75, C75-B66,SUM(B114:C114)-B66)</f>
        <v>0</v>
      </c>
      <c r="D66" s="97">
        <f>IF(SUM(B114:D114)&gt; D75, D75-B66-C66,SUM(B114:D114)-B66-C66)</f>
        <v>0</v>
      </c>
      <c r="E66" s="97">
        <f>IF(SUM(B114:E114)&gt; E75, E75-B66-C66-D66,SUM(B114:E114)-B66-C66-D66)</f>
        <v>0</v>
      </c>
      <c r="F66" s="97">
        <f>IF(SUM(B114:F114)&gt; F75, F75-B66-C66-D66-E66,SUM(B114:F114)-B66-C66-D66-E66)</f>
        <v>0</v>
      </c>
      <c r="G66" s="97">
        <f>IF(SUM(B114:G114)&gt; G75, G75-B66-C66-D66-E66-F66,SUM(B114:G114)-B66-C66-D66-E66-F66)</f>
        <v>0</v>
      </c>
      <c r="H66" s="97">
        <f>IF(SUM(B114:H114)&gt; H75, H75-B66-C66-D66-E66-F66-G66,SUM(B114:H114)-B66-C66-D66-E66-F66-G66)</f>
        <v>0</v>
      </c>
      <c r="I66" s="97">
        <f>IF(SUM(B114:I114)&gt; I75, I75-B66-C66-D66-E66-F66-G66-H66,SUM(B114:I114)-B66-C66-D66-E66-F66-G66-H66)</f>
        <v>0</v>
      </c>
      <c r="J66" s="97">
        <f>IF(SUM(B114:J114)&gt; J75, J75-B66-C66-D66-E66-F66-G66-H66-I66,SUM(B114:J114)-B66-C66-D66-E66-F66-G66-H66-I66)</f>
        <v>0</v>
      </c>
      <c r="K66" s="97">
        <f>IF(SUM(B114:K114)&gt; K75, K75-B66-C66-D66-E66-F66-G66-H66-I66-J66,SUM(B114:K114)-B66-C66-D66-E66-F66-G66-H66-I66-J66)</f>
        <v>0</v>
      </c>
      <c r="L66" s="97">
        <f>IF(SUM(B114:L114)&gt; L75, L75-B66-C66-D66-E66-F66-G66-H66-I66-J66-K66,SUM(B114:L114)-B66-C66-D66-E66-F66-G66-H66-I66-J66-K66)</f>
        <v>0</v>
      </c>
      <c r="M66" s="97">
        <f>IF(SUM(B114:M114)&gt; M75, M75-B66-C66-D66-E66-F66-G66-H66-I66-J66-K66-L66,SUM(B114:M114)-B66-C66-D66-E66-F66-G66-H66-I66-J66-K66-L66)</f>
        <v>0</v>
      </c>
      <c r="N66" s="5"/>
      <c r="O66" s="10"/>
      <c r="P66" s="14"/>
      <c r="Q66" s="5"/>
      <c r="R66" s="5"/>
      <c r="S66" s="5"/>
    </row>
    <row r="67" spans="1:19" x14ac:dyDescent="0.25">
      <c r="A67" s="62" t="s">
        <v>56</v>
      </c>
      <c r="B67" s="95">
        <f>B115</f>
        <v>0</v>
      </c>
      <c r="C67" s="95">
        <f t="shared" ref="C67:M67" si="14">C115</f>
        <v>0</v>
      </c>
      <c r="D67" s="95">
        <f t="shared" si="14"/>
        <v>0</v>
      </c>
      <c r="E67" s="95">
        <f t="shared" si="14"/>
        <v>0</v>
      </c>
      <c r="F67" s="95">
        <f t="shared" si="14"/>
        <v>0</v>
      </c>
      <c r="G67" s="95">
        <f t="shared" si="14"/>
        <v>0</v>
      </c>
      <c r="H67" s="95">
        <f t="shared" si="14"/>
        <v>0</v>
      </c>
      <c r="I67" s="95">
        <f t="shared" si="14"/>
        <v>0</v>
      </c>
      <c r="J67" s="95">
        <f t="shared" si="14"/>
        <v>0</v>
      </c>
      <c r="K67" s="95">
        <f t="shared" si="14"/>
        <v>0</v>
      </c>
      <c r="L67" s="95">
        <f t="shared" si="14"/>
        <v>0</v>
      </c>
      <c r="M67" s="95">
        <f t="shared" si="14"/>
        <v>0</v>
      </c>
      <c r="N67" s="5"/>
      <c r="O67" s="10"/>
      <c r="P67" s="14"/>
      <c r="Q67" s="5"/>
      <c r="R67" s="5"/>
      <c r="S67" s="5"/>
    </row>
    <row r="68" spans="1:19" x14ac:dyDescent="0.25">
      <c r="A68" s="30" t="s">
        <v>57</v>
      </c>
      <c r="B68" s="112">
        <f>SUM(B58:B67)</f>
        <v>0</v>
      </c>
      <c r="C68" s="112">
        <f t="shared" ref="C68:M68" si="15">SUM(C58:C67)</f>
        <v>0</v>
      </c>
      <c r="D68" s="112">
        <f t="shared" si="15"/>
        <v>0</v>
      </c>
      <c r="E68" s="112">
        <f t="shared" si="15"/>
        <v>0</v>
      </c>
      <c r="F68" s="112">
        <f t="shared" si="15"/>
        <v>0</v>
      </c>
      <c r="G68" s="112">
        <f t="shared" si="15"/>
        <v>0</v>
      </c>
      <c r="H68" s="112">
        <f t="shared" si="15"/>
        <v>0</v>
      </c>
      <c r="I68" s="112">
        <f t="shared" si="15"/>
        <v>0</v>
      </c>
      <c r="J68" s="112">
        <f t="shared" si="15"/>
        <v>0</v>
      </c>
      <c r="K68" s="112">
        <f t="shared" si="15"/>
        <v>0</v>
      </c>
      <c r="L68" s="112">
        <f t="shared" si="15"/>
        <v>0</v>
      </c>
      <c r="M68" s="112">
        <f t="shared" si="15"/>
        <v>0</v>
      </c>
      <c r="N68" s="5"/>
      <c r="O68" s="10"/>
      <c r="P68" s="14"/>
      <c r="Q68" s="5"/>
      <c r="R68" s="5"/>
      <c r="S68" s="5"/>
    </row>
    <row r="69" spans="1:19" x14ac:dyDescent="0.25">
      <c r="A69" s="36" t="s">
        <v>143</v>
      </c>
      <c r="B69" s="103">
        <f>B56-B68</f>
        <v>0</v>
      </c>
      <c r="C69" s="103">
        <f t="shared" ref="C69:M69" si="16">C56-C68</f>
        <v>0</v>
      </c>
      <c r="D69" s="103">
        <f t="shared" si="16"/>
        <v>0</v>
      </c>
      <c r="E69" s="103">
        <f t="shared" si="16"/>
        <v>0</v>
      </c>
      <c r="F69" s="103">
        <f t="shared" si="16"/>
        <v>0</v>
      </c>
      <c r="G69" s="103">
        <f t="shared" si="16"/>
        <v>0</v>
      </c>
      <c r="H69" s="103">
        <f t="shared" si="16"/>
        <v>0</v>
      </c>
      <c r="I69" s="103">
        <f t="shared" si="16"/>
        <v>0</v>
      </c>
      <c r="J69" s="103">
        <f t="shared" si="16"/>
        <v>0</v>
      </c>
      <c r="K69" s="103">
        <f t="shared" si="16"/>
        <v>0</v>
      </c>
      <c r="L69" s="103">
        <f t="shared" si="16"/>
        <v>0</v>
      </c>
      <c r="M69" s="103">
        <f t="shared" si="16"/>
        <v>0</v>
      </c>
      <c r="N69" s="5"/>
      <c r="O69" s="10"/>
      <c r="P69" s="14"/>
      <c r="Q69" s="5"/>
      <c r="R69" s="5"/>
      <c r="S69" s="5"/>
    </row>
    <row r="70" spans="1:19" x14ac:dyDescent="0.25">
      <c r="A70" s="34" t="s">
        <v>144</v>
      </c>
      <c r="B70" s="116">
        <f>+B69</f>
        <v>0</v>
      </c>
      <c r="C70" s="116">
        <f t="shared" ref="C70:M70" si="17">+C69+B70</f>
        <v>0</v>
      </c>
      <c r="D70" s="116">
        <f t="shared" si="17"/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6">
        <f t="shared" si="17"/>
        <v>0</v>
      </c>
      <c r="I70" s="116">
        <f t="shared" si="17"/>
        <v>0</v>
      </c>
      <c r="J70" s="116">
        <f t="shared" si="17"/>
        <v>0</v>
      </c>
      <c r="K70" s="116">
        <f t="shared" si="17"/>
        <v>0</v>
      </c>
      <c r="L70" s="116">
        <f t="shared" si="17"/>
        <v>0</v>
      </c>
      <c r="M70" s="116">
        <f t="shared" si="17"/>
        <v>0</v>
      </c>
      <c r="N70" s="15"/>
      <c r="O70" s="5"/>
      <c r="P70" s="5"/>
      <c r="Q70" s="5"/>
      <c r="R70" s="5"/>
      <c r="S70" s="5"/>
    </row>
    <row r="71" spans="1:19" s="17" customFormat="1" x14ac:dyDescent="0.25">
      <c r="A71" s="67" t="s">
        <v>58</v>
      </c>
      <c r="B71" s="100">
        <f>IF((B70*0.05)&gt;B116,B116,(B70*0.05))</f>
        <v>0</v>
      </c>
      <c r="C71" s="100">
        <f>IF(SUM(B116:C116)&gt;C123,C123-B71,SUM(B116:C116)-B71)</f>
        <v>0</v>
      </c>
      <c r="D71" s="94">
        <f>IF(SUM(B116:D116)&gt;D123,D123-B71-C71,SUM(B116:D116)-B71-C71)</f>
        <v>0</v>
      </c>
      <c r="E71" s="94">
        <f>IF(SUM(B116:E116)&gt;E123,E123-B71-C71-D71,SUM(B116:E116)-B71-C71-D71)</f>
        <v>0</v>
      </c>
      <c r="F71" s="94">
        <f>IF(SUM(B116:F116)&gt;F123,F123-B71-C71-D71-E71,SUM(B116:F116)-B71-C71-D71-E71)</f>
        <v>0</v>
      </c>
      <c r="G71" s="94">
        <f>IF(SUM(B116:G116)&gt;G123,G123-B71-C71-D71-E71-F71,SUM(B116:G116)-B71-C71-D71-E71-F71)</f>
        <v>0</v>
      </c>
      <c r="H71" s="94">
        <f>IF(SUM(B116:H116)&gt;H123,H123-B71-C71-D71-E71-F71-G71,SUM(B116:H116)-B71-C71-D71-E71-F71-G71)</f>
        <v>0</v>
      </c>
      <c r="I71" s="94">
        <f>IF(SUM(B116:I116)&gt;I123,I123-B71-C71-D71-E71-F71-G71-H71,SUM(B116:I116)-B71-C71-D71-E71-F71-G71-H71)</f>
        <v>0</v>
      </c>
      <c r="J71" s="94">
        <f>IF(SUM(B116:J116)&gt;J123,J123-B71-C71-D71-E71-F71-G71-H71-I71,SUM(B116:J116)-B71-C71-D71-E71-F71-G71-H71-I71)</f>
        <v>0</v>
      </c>
      <c r="K71" s="94">
        <f>IF(SUM(B116:K116)&gt;K123,K123-B71-C71-D71-E71-F71-G71-H71-I71-J71,SUM(B116:K116)-B71-C71-D71-E71-F71-G71-H71-I71-J71)</f>
        <v>0</v>
      </c>
      <c r="L71" s="94">
        <f>IF(SUM(B116:L116)&gt;L123,L123-B71-C71-D71-E71-F71-G71-H71-I71-J71-K71,SUM(B116:L116)-B71-C71-D71-E71-F71-G71-H71-I71-J71-K71)</f>
        <v>0</v>
      </c>
      <c r="M71" s="94">
        <f>IF(SUM(B116:M116)&gt;M123,M123-B71-C71-D71-E71-F71-G71-H71-I71-J71-K71-L71,SUM(B116:M116)-B71-C71-D71-E71-F71-G71-H71-I71-J71-K71-L71)</f>
        <v>0</v>
      </c>
      <c r="N71" s="15"/>
      <c r="O71" s="16"/>
      <c r="P71" s="16"/>
      <c r="Q71" s="16"/>
      <c r="R71" s="16"/>
      <c r="S71" s="16"/>
    </row>
    <row r="72" spans="1:19" s="17" customFormat="1" ht="15.75" customHeight="1" x14ac:dyDescent="0.25">
      <c r="A72" s="67" t="s">
        <v>59</v>
      </c>
      <c r="B72" s="100">
        <f>IF(B123&gt;B117,B117,B123)</f>
        <v>0</v>
      </c>
      <c r="C72" s="94">
        <f>IF(SUM(B117:C117)&gt;C123,C123-B72,SUM(B117:C117)-B72)</f>
        <v>0</v>
      </c>
      <c r="D72" s="94">
        <f>IF(SUM(B117:D117)&gt;D123,D123-B72-C72,SUM(B117:D117)-B72-C72)</f>
        <v>0</v>
      </c>
      <c r="E72" s="94">
        <f>IF(SUM(B117:E117)&gt;E123,E123-B72-C72-D72,SUM(B117:E117)-B72-C72-D72)</f>
        <v>0</v>
      </c>
      <c r="F72" s="94">
        <f>IF(SUM(B117:F117)&gt;F123,F123-B72-C72-D72-E72,SUM(B117:F117)-B72-C72-D72-E72)</f>
        <v>0</v>
      </c>
      <c r="G72" s="94">
        <f>IF(SUM(B117:G117)&gt;G123,G123-B72-C72-D72-E72-F72,SUM(B117:G117)-B72-C72-D72-E72-F72)</f>
        <v>0</v>
      </c>
      <c r="H72" s="94">
        <f>IF(SUM(B117:H117)&gt;H123,H123-B72-C72-D72-E72-F72-G72,SUM(B117:H117)-B72-C72-D72-E72-F72-G72)</f>
        <v>0</v>
      </c>
      <c r="I72" s="94">
        <f>IF(SUM(B117:I117)&gt;I123,I123-B72-C72-D72-E72-F72-G72-H72,SUM(B117:I117)-B72-C72-D72-E72-F72-G72-H72)</f>
        <v>0</v>
      </c>
      <c r="J72" s="94">
        <f>IF(SUM(B117:J117)&gt;J123,J123-B72-C72-D72-E72-F72-G72-H72-I72,SUM(B117:J117)-B72-C72-D72-E72-F72-G72-H72-I72)</f>
        <v>0</v>
      </c>
      <c r="K72" s="94">
        <f>IF(SUM(B117:K117)&gt;K123,K123-B72-C72-D72-E72-F72-G72-H72-I72-J72,SUM(B117:K117)-B72-C72-D72-E72-F72-G72-H72-I72-J72)</f>
        <v>0</v>
      </c>
      <c r="L72" s="94">
        <f>IF(SUM(B117:L117)&gt;L123,L123-B72-C72-D72-E72-F72-G72-H72-I72-J72-K72,SUM(B117:L117)-B72-C72-D72-E72-F72-G72-H72-I72-J72-K72)</f>
        <v>0</v>
      </c>
      <c r="M72" s="94">
        <f>IF(SUM(B117:M117)&gt;M123,M123-B72-C72-D72-E72-F72-G72-H72-I72-J72-K72-L72,SUM(B117:M117)-B72-C72-D72-E72-F72-G72-H72-I72-J72-K72-L72)</f>
        <v>0</v>
      </c>
      <c r="N72" s="15"/>
      <c r="O72" s="16"/>
      <c r="P72" s="16"/>
      <c r="Q72" s="16"/>
      <c r="R72" s="16"/>
      <c r="S72" s="16"/>
    </row>
    <row r="73" spans="1:19" s="17" customFormat="1" ht="15.75" customHeight="1" x14ac:dyDescent="0.25">
      <c r="A73" s="72" t="s">
        <v>60</v>
      </c>
      <c r="B73" s="117">
        <f t="shared" ref="B73:M73" si="18">SUM(B71:B72)</f>
        <v>0</v>
      </c>
      <c r="C73" s="117">
        <f t="shared" si="18"/>
        <v>0</v>
      </c>
      <c r="D73" s="117">
        <f t="shared" si="18"/>
        <v>0</v>
      </c>
      <c r="E73" s="117">
        <f t="shared" si="18"/>
        <v>0</v>
      </c>
      <c r="F73" s="117">
        <f t="shared" si="18"/>
        <v>0</v>
      </c>
      <c r="G73" s="117">
        <f t="shared" si="18"/>
        <v>0</v>
      </c>
      <c r="H73" s="117">
        <f t="shared" si="18"/>
        <v>0</v>
      </c>
      <c r="I73" s="117">
        <f t="shared" si="18"/>
        <v>0</v>
      </c>
      <c r="J73" s="117">
        <f t="shared" si="18"/>
        <v>0</v>
      </c>
      <c r="K73" s="117">
        <f t="shared" si="18"/>
        <v>0</v>
      </c>
      <c r="L73" s="117">
        <f t="shared" si="18"/>
        <v>0</v>
      </c>
      <c r="M73" s="117">
        <f t="shared" si="18"/>
        <v>0</v>
      </c>
      <c r="N73" s="15"/>
      <c r="O73" s="16"/>
      <c r="P73" s="16"/>
      <c r="Q73" s="16"/>
      <c r="R73" s="16"/>
      <c r="S73" s="16"/>
    </row>
    <row r="74" spans="1:19" x14ac:dyDescent="0.25">
      <c r="A74" s="30" t="s">
        <v>61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5"/>
      <c r="O74" s="10"/>
      <c r="P74" s="14"/>
      <c r="Q74" s="5"/>
      <c r="R74" s="5"/>
      <c r="S74" s="5"/>
    </row>
    <row r="75" spans="1:19" x14ac:dyDescent="0.25">
      <c r="A75" s="9" t="s">
        <v>62</v>
      </c>
      <c r="B75" s="143">
        <v>21047.07</v>
      </c>
      <c r="C75" s="143">
        <v>42094.14</v>
      </c>
      <c r="D75" s="100">
        <v>63141.21</v>
      </c>
      <c r="E75" s="100">
        <v>84188.28</v>
      </c>
      <c r="F75" s="100">
        <v>105235.35</v>
      </c>
      <c r="G75" s="100">
        <v>126282.42</v>
      </c>
      <c r="H75" s="100">
        <v>147329.49</v>
      </c>
      <c r="I75" s="100">
        <v>168376.56</v>
      </c>
      <c r="J75" s="100">
        <v>189423.63</v>
      </c>
      <c r="K75" s="100">
        <v>210470.7</v>
      </c>
      <c r="L75" s="100">
        <v>231517.77</v>
      </c>
      <c r="M75" s="100">
        <v>252564.84</v>
      </c>
      <c r="N75" s="5"/>
      <c r="O75" s="5"/>
      <c r="P75" s="5"/>
      <c r="Q75" s="5"/>
      <c r="R75" s="5"/>
      <c r="S75" s="5"/>
    </row>
    <row r="76" spans="1:19" x14ac:dyDescent="0.25">
      <c r="A76" s="9" t="s">
        <v>63</v>
      </c>
      <c r="B76" s="100">
        <f t="shared" ref="B76:L76" si="19">$B$97*B103</f>
        <v>0</v>
      </c>
      <c r="C76" s="100">
        <f t="shared" si="19"/>
        <v>0</v>
      </c>
      <c r="D76" s="100">
        <f t="shared" si="19"/>
        <v>0</v>
      </c>
      <c r="E76" s="100">
        <f t="shared" si="19"/>
        <v>0</v>
      </c>
      <c r="F76" s="100">
        <f t="shared" si="19"/>
        <v>0</v>
      </c>
      <c r="G76" s="100">
        <f t="shared" si="19"/>
        <v>0</v>
      </c>
      <c r="H76" s="100">
        <f t="shared" si="19"/>
        <v>0</v>
      </c>
      <c r="I76" s="100">
        <f t="shared" si="19"/>
        <v>0</v>
      </c>
      <c r="J76" s="100">
        <f t="shared" si="19"/>
        <v>0</v>
      </c>
      <c r="K76" s="100">
        <f t="shared" si="19"/>
        <v>0</v>
      </c>
      <c r="L76" s="100">
        <f t="shared" si="19"/>
        <v>0</v>
      </c>
      <c r="M76" s="100">
        <f>$B$97*M103</f>
        <v>0</v>
      </c>
      <c r="N76" s="5"/>
      <c r="O76" s="5"/>
      <c r="P76" s="5"/>
      <c r="Q76" s="5"/>
      <c r="R76" s="5"/>
      <c r="S76" s="5"/>
    </row>
    <row r="77" spans="1:19" x14ac:dyDescent="0.25">
      <c r="A77" s="9" t="s">
        <v>64</v>
      </c>
      <c r="B77" s="100">
        <f>$B$98*B104</f>
        <v>0</v>
      </c>
      <c r="C77" s="100">
        <f t="shared" ref="C77:M77" si="20">$B$98*C104</f>
        <v>0</v>
      </c>
      <c r="D77" s="100">
        <f t="shared" si="20"/>
        <v>0</v>
      </c>
      <c r="E77" s="100">
        <f t="shared" si="20"/>
        <v>0</v>
      </c>
      <c r="F77" s="100">
        <f t="shared" si="20"/>
        <v>0</v>
      </c>
      <c r="G77" s="100">
        <f t="shared" si="20"/>
        <v>0</v>
      </c>
      <c r="H77" s="100">
        <f t="shared" si="20"/>
        <v>0</v>
      </c>
      <c r="I77" s="100">
        <f t="shared" si="20"/>
        <v>0</v>
      </c>
      <c r="J77" s="100">
        <f t="shared" si="20"/>
        <v>0</v>
      </c>
      <c r="K77" s="100">
        <f t="shared" si="20"/>
        <v>0</v>
      </c>
      <c r="L77" s="100">
        <f t="shared" si="20"/>
        <v>0</v>
      </c>
      <c r="M77" s="100">
        <f t="shared" si="20"/>
        <v>0</v>
      </c>
      <c r="N77" s="5"/>
      <c r="O77" s="5"/>
      <c r="P77" s="5"/>
      <c r="Q77" s="5"/>
      <c r="R77" s="5"/>
      <c r="S77" s="5"/>
    </row>
    <row r="78" spans="1:19" x14ac:dyDescent="0.25">
      <c r="A78" s="9" t="s">
        <v>65</v>
      </c>
      <c r="B78" s="100">
        <f>$B$99*B105</f>
        <v>0</v>
      </c>
      <c r="C78" s="100">
        <f t="shared" ref="C78:M78" si="21">$B$99*C105</f>
        <v>0</v>
      </c>
      <c r="D78" s="100">
        <f t="shared" si="21"/>
        <v>0</v>
      </c>
      <c r="E78" s="100">
        <f t="shared" si="21"/>
        <v>0</v>
      </c>
      <c r="F78" s="100">
        <f t="shared" si="21"/>
        <v>0</v>
      </c>
      <c r="G78" s="100">
        <f t="shared" si="21"/>
        <v>0</v>
      </c>
      <c r="H78" s="100">
        <f t="shared" si="21"/>
        <v>0</v>
      </c>
      <c r="I78" s="100">
        <f t="shared" si="21"/>
        <v>0</v>
      </c>
      <c r="J78" s="100">
        <f t="shared" si="21"/>
        <v>0</v>
      </c>
      <c r="K78" s="100">
        <f t="shared" si="21"/>
        <v>0</v>
      </c>
      <c r="L78" s="100">
        <f t="shared" si="21"/>
        <v>0</v>
      </c>
      <c r="M78" s="100">
        <f t="shared" si="21"/>
        <v>0</v>
      </c>
      <c r="N78" s="5"/>
      <c r="O78" s="5"/>
      <c r="P78" s="5"/>
      <c r="Q78" s="5"/>
      <c r="R78" s="5"/>
      <c r="S78" s="5"/>
    </row>
    <row r="79" spans="1:19" x14ac:dyDescent="0.25">
      <c r="A79" s="9" t="s">
        <v>66</v>
      </c>
      <c r="B79" s="100">
        <v>101025.94</v>
      </c>
      <c r="C79" s="100">
        <v>202051.87</v>
      </c>
      <c r="D79" s="100">
        <v>303077.81</v>
      </c>
      <c r="E79" s="100">
        <v>404103.75</v>
      </c>
      <c r="F79" s="100">
        <v>505129.68</v>
      </c>
      <c r="G79" s="100">
        <v>606155.62</v>
      </c>
      <c r="H79" s="100">
        <v>707181.56</v>
      </c>
      <c r="I79" s="100">
        <v>808207.49</v>
      </c>
      <c r="J79" s="100">
        <v>909233.43</v>
      </c>
      <c r="K79" s="100">
        <v>1010259.37</v>
      </c>
      <c r="L79" s="100">
        <v>1111285.3</v>
      </c>
      <c r="M79" s="100">
        <v>1212311.24</v>
      </c>
      <c r="N79" s="5"/>
      <c r="O79" s="5"/>
      <c r="P79" s="5"/>
      <c r="Q79" s="5"/>
      <c r="R79" s="5"/>
      <c r="S79" s="5"/>
    </row>
    <row r="80" spans="1:19" x14ac:dyDescent="0.25">
      <c r="A80" s="60" t="s">
        <v>67</v>
      </c>
      <c r="B80" s="147">
        <f>IF(B40&gt;225937,0,IF(B126&gt;0,B126,0))</f>
        <v>0</v>
      </c>
      <c r="C80" s="147">
        <f>IF(C40&gt;225937,0,IF(C126&gt;0,C126,0))</f>
        <v>0</v>
      </c>
      <c r="D80" s="147">
        <f>IF(D40&gt;225937,0,IF(D126&gt;0,D126,0))</f>
        <v>0</v>
      </c>
      <c r="E80" s="147">
        <f>IF(E40&gt;225937,0,IF(E126&gt;0,E126,0))</f>
        <v>0</v>
      </c>
      <c r="F80" s="147">
        <f>IF(F40&gt;225937,0,IF(F126&gt;0,F126,0))</f>
        <v>0</v>
      </c>
      <c r="G80" s="147">
        <f>IF(G40&gt;225937,0,IF(G126&gt;0,IF(G55&lt;0,G126,G126-(G55*$C$145)),0))</f>
        <v>0</v>
      </c>
      <c r="H80" s="147">
        <f>IF(H40&gt;225937,0,IF(H126&gt;0, H126,0))</f>
        <v>0</v>
      </c>
      <c r="I80" s="147">
        <f>IF(I40&gt;225937,0,IF(I126&gt;0, I126,0))</f>
        <v>0</v>
      </c>
      <c r="J80" s="147">
        <f>IF(J40&gt;225937,0,IF(J126&gt;0, J126,0))</f>
        <v>0</v>
      </c>
      <c r="K80" s="147">
        <f>IF(K40&gt;225937,0,IF(K126&gt;0,K126,0))</f>
        <v>0</v>
      </c>
      <c r="L80" s="147">
        <f>IF(L40&gt;225937,0,IF(L126&gt;0,L126,0))</f>
        <v>0</v>
      </c>
      <c r="M80" s="147">
        <f>IF(M40&gt;225937,0,IF(M126&gt;0,IF(M55&lt;0,M126,M126-(M55*$C$145)),0))</f>
        <v>0</v>
      </c>
      <c r="N80" s="5"/>
      <c r="O80" s="5"/>
      <c r="P80" s="5"/>
      <c r="Q80" s="5"/>
      <c r="R80" s="5"/>
      <c r="S80" s="5"/>
    </row>
    <row r="81" spans="1:19" x14ac:dyDescent="0.25">
      <c r="A81" s="68" t="s">
        <v>68</v>
      </c>
      <c r="B81" s="118">
        <f>B80</f>
        <v>0</v>
      </c>
      <c r="C81" s="118">
        <f t="shared" ref="C81:M81" si="22">B81+C80</f>
        <v>0</v>
      </c>
      <c r="D81" s="118">
        <f t="shared" si="22"/>
        <v>0</v>
      </c>
      <c r="E81" s="118">
        <f>D81+E80</f>
        <v>0</v>
      </c>
      <c r="F81" s="118">
        <f t="shared" si="22"/>
        <v>0</v>
      </c>
      <c r="G81" s="118">
        <f>F81+G80</f>
        <v>0</v>
      </c>
      <c r="H81" s="118">
        <f t="shared" si="22"/>
        <v>0</v>
      </c>
      <c r="I81" s="118">
        <f>H81+I80</f>
        <v>0</v>
      </c>
      <c r="J81" s="118">
        <f t="shared" si="22"/>
        <v>0</v>
      </c>
      <c r="K81" s="118">
        <f t="shared" si="22"/>
        <v>0</v>
      </c>
      <c r="L81" s="118">
        <f t="shared" si="22"/>
        <v>0</v>
      </c>
      <c r="M81" s="118">
        <f t="shared" si="22"/>
        <v>0</v>
      </c>
      <c r="N81" s="5"/>
      <c r="O81" s="5"/>
      <c r="P81" s="5"/>
      <c r="Q81" s="5"/>
      <c r="R81" s="5"/>
      <c r="S81" s="5"/>
    </row>
    <row r="82" spans="1:19" x14ac:dyDescent="0.25">
      <c r="A82" s="87" t="s">
        <v>69</v>
      </c>
      <c r="B82" s="151">
        <f>IF(AND(B40&gt;225937, B40&lt;260580), VLOOKUP(B40-1, AnexoIV!$A$3:$C$233,3,TRUE),0)</f>
        <v>0</v>
      </c>
      <c r="C82" s="151">
        <f>IF(AND(C40&gt;225937, C40&lt;260580), VLOOKUP(C40, AnexoIV!$A$3:$C$233,3,TRUE),0)</f>
        <v>0</v>
      </c>
      <c r="D82" s="151">
        <f>IF(AND(D40&gt;225937, D40&lt;260580), VLOOKUP(D40, AnexoIV!$A$3:$C$233,3,TRUE),0)</f>
        <v>0</v>
      </c>
      <c r="E82" s="151">
        <f>IF(AND(E40&gt;225937, E40&lt;260580), VLOOKUP(E40, AnexoIV!$A$3:$C$233,3,TRUE),0)</f>
        <v>0</v>
      </c>
      <c r="F82" s="151">
        <f>IF(AND(F40&gt;225937, F40&lt;260580), VLOOKUP(F40, AnexoIV!$A$3:$C$233,3,TRUE),0)</f>
        <v>0</v>
      </c>
      <c r="G82" s="151">
        <f>IF(AND(G40&gt;225937, G40&lt;260580), VLOOKUP(G40, AnexoIV!$A$3:$C$233,3,TRUE),0)</f>
        <v>0</v>
      </c>
      <c r="H82" s="151">
        <f>IF(AND(H40&gt;225937, H40&lt;260580), VLOOKUP(H40, AnexoIV!$A$3:$C$233,3,TRUE),0)</f>
        <v>0</v>
      </c>
      <c r="I82" s="151">
        <f>IF(AND(I40&gt;225937, I40&lt;260580), VLOOKUP(I40, AnexoIV!$A$3:$C$233,3,TRUE),0)</f>
        <v>0</v>
      </c>
      <c r="J82" s="151">
        <f>IF(AND(J40&gt;225937, J40&lt;260580), VLOOKUP(J40, AnexoIV!$A$3:$C$233,3,TRUE),0)</f>
        <v>0</v>
      </c>
      <c r="K82" s="151">
        <f>IF(AND(K40&gt;225937, K40&lt;260580), VLOOKUP(K40, AnexoIV!$A$3:$C$233,3,TRUE),0)</f>
        <v>0</v>
      </c>
      <c r="L82" s="151">
        <f>IF(AND(L40&gt;225937, L40&lt;260580), VLOOKUP(L40, AnexoIV!$A$3:$C$233,3,TRUE),0)</f>
        <v>0</v>
      </c>
      <c r="M82" s="151">
        <f>IF(AND(M40&gt;225937, M40&lt;260580), VLOOKUP(M40, AnexoIV!$A$3:$C$233,3,TRUE),0)</f>
        <v>0</v>
      </c>
      <c r="N82" s="5"/>
      <c r="P82" s="5"/>
      <c r="Q82" s="5"/>
      <c r="R82" s="5"/>
      <c r="S82" s="5"/>
    </row>
    <row r="83" spans="1:19" x14ac:dyDescent="0.25">
      <c r="A83" s="59" t="s">
        <v>70</v>
      </c>
      <c r="B83" s="107">
        <f>B82</f>
        <v>0</v>
      </c>
      <c r="C83" s="107">
        <f>B83+C82</f>
        <v>0</v>
      </c>
      <c r="D83" s="107">
        <f t="shared" ref="D83:M83" si="23">C83+D82</f>
        <v>0</v>
      </c>
      <c r="E83" s="107">
        <f t="shared" si="23"/>
        <v>0</v>
      </c>
      <c r="F83" s="107">
        <f t="shared" si="23"/>
        <v>0</v>
      </c>
      <c r="G83" s="107">
        <f t="shared" si="23"/>
        <v>0</v>
      </c>
      <c r="H83" s="107">
        <f t="shared" si="23"/>
        <v>0</v>
      </c>
      <c r="I83" s="107">
        <f t="shared" si="23"/>
        <v>0</v>
      </c>
      <c r="J83" s="107">
        <f t="shared" si="23"/>
        <v>0</v>
      </c>
      <c r="K83" s="107">
        <f t="shared" si="23"/>
        <v>0</v>
      </c>
      <c r="L83" s="107">
        <f t="shared" si="23"/>
        <v>0</v>
      </c>
      <c r="M83" s="107">
        <f t="shared" si="23"/>
        <v>0</v>
      </c>
      <c r="N83" s="5"/>
      <c r="P83" s="5"/>
      <c r="Q83" s="5"/>
      <c r="R83" s="5"/>
      <c r="S83" s="5"/>
    </row>
    <row r="84" spans="1:19" x14ac:dyDescent="0.25">
      <c r="A84" s="12" t="s">
        <v>71</v>
      </c>
      <c r="B84" s="99">
        <f>B75+B76+B77+B78+B79+B81+B83</f>
        <v>122073.01000000001</v>
      </c>
      <c r="C84" s="99">
        <f t="shared" ref="C84:M84" si="24">C75+C76+C77+C78+C79+C81+C83</f>
        <v>244146.01</v>
      </c>
      <c r="D84" s="99">
        <f t="shared" si="24"/>
        <v>366219.02</v>
      </c>
      <c r="E84" s="99">
        <f t="shared" si="24"/>
        <v>488292.03</v>
      </c>
      <c r="F84" s="99">
        <f t="shared" si="24"/>
        <v>610365.03</v>
      </c>
      <c r="G84" s="99">
        <f t="shared" si="24"/>
        <v>732438.04</v>
      </c>
      <c r="H84" s="99">
        <f t="shared" si="24"/>
        <v>854511.05</v>
      </c>
      <c r="I84" s="99">
        <f t="shared" si="24"/>
        <v>976584.05</v>
      </c>
      <c r="J84" s="99">
        <f t="shared" si="24"/>
        <v>1098657.06</v>
      </c>
      <c r="K84" s="99">
        <f t="shared" si="24"/>
        <v>1220730.07</v>
      </c>
      <c r="L84" s="99">
        <f t="shared" si="24"/>
        <v>1342803.07</v>
      </c>
      <c r="M84" s="99">
        <f t="shared" si="24"/>
        <v>1464876.08</v>
      </c>
      <c r="N84" s="5"/>
      <c r="O84" s="5"/>
      <c r="P84" s="5"/>
      <c r="Q84" s="5"/>
      <c r="R84" s="5"/>
      <c r="S84" s="5"/>
    </row>
    <row r="85" spans="1:19" x14ac:dyDescent="0.25">
      <c r="A85" s="3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5"/>
      <c r="O85" s="5"/>
      <c r="P85" s="5"/>
      <c r="Q85" s="5"/>
      <c r="R85" s="5"/>
      <c r="S85" s="5"/>
    </row>
    <row r="86" spans="1:19" x14ac:dyDescent="0.25">
      <c r="A86" s="3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5"/>
      <c r="O86" s="5"/>
      <c r="P86" s="5"/>
      <c r="Q86" s="5"/>
      <c r="R86" s="5"/>
      <c r="S86" s="5"/>
    </row>
    <row r="87" spans="1:19" x14ac:dyDescent="0.25">
      <c r="B87" s="119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5"/>
      <c r="O87" s="5"/>
      <c r="P87" s="5"/>
      <c r="Q87" s="5"/>
      <c r="R87" s="5"/>
      <c r="S87" s="5"/>
    </row>
    <row r="88" spans="1:19" hidden="1" x14ac:dyDescent="0.25">
      <c r="A88" s="26" t="s">
        <v>72</v>
      </c>
      <c r="B88" s="121" t="s">
        <v>73</v>
      </c>
      <c r="C88" s="121" t="s">
        <v>74</v>
      </c>
      <c r="D88" s="121" t="s">
        <v>75</v>
      </c>
      <c r="E88" s="121" t="s">
        <v>76</v>
      </c>
      <c r="F88" s="121" t="s">
        <v>77</v>
      </c>
      <c r="G88" s="121" t="s">
        <v>78</v>
      </c>
      <c r="H88" s="121" t="s">
        <v>79</v>
      </c>
      <c r="I88" s="121" t="s">
        <v>80</v>
      </c>
      <c r="J88" s="121" t="s">
        <v>81</v>
      </c>
      <c r="K88" s="121" t="s">
        <v>82</v>
      </c>
      <c r="L88" s="121" t="s">
        <v>83</v>
      </c>
      <c r="M88" s="122" t="s">
        <v>84</v>
      </c>
      <c r="N88" s="5"/>
      <c r="O88" s="5"/>
      <c r="P88" s="5"/>
      <c r="Q88" s="5"/>
      <c r="R88" s="5"/>
      <c r="S88" s="5"/>
    </row>
    <row r="89" spans="1:19" x14ac:dyDescent="0.25">
      <c r="A89" s="25" t="s">
        <v>85</v>
      </c>
      <c r="B89" s="123">
        <f t="shared" ref="B89:M89" si="25">IF((B70-B73-B84)&gt;0,B70-B73-B84,0)</f>
        <v>0</v>
      </c>
      <c r="C89" s="123">
        <f t="shared" si="25"/>
        <v>0</v>
      </c>
      <c r="D89" s="123">
        <f t="shared" si="25"/>
        <v>0</v>
      </c>
      <c r="E89" s="123">
        <f t="shared" si="25"/>
        <v>0</v>
      </c>
      <c r="F89" s="123">
        <f t="shared" si="25"/>
        <v>0</v>
      </c>
      <c r="G89" s="123">
        <f t="shared" si="25"/>
        <v>0</v>
      </c>
      <c r="H89" s="123">
        <f t="shared" si="25"/>
        <v>0</v>
      </c>
      <c r="I89" s="123">
        <f t="shared" si="25"/>
        <v>0</v>
      </c>
      <c r="J89" s="123">
        <f t="shared" si="25"/>
        <v>0</v>
      </c>
      <c r="K89" s="123">
        <f t="shared" si="25"/>
        <v>0</v>
      </c>
      <c r="L89" s="123">
        <f t="shared" si="25"/>
        <v>0</v>
      </c>
      <c r="M89" s="123">
        <f t="shared" si="25"/>
        <v>0</v>
      </c>
      <c r="N89" s="5"/>
      <c r="O89" s="5"/>
      <c r="P89" s="5"/>
      <c r="Q89" s="5"/>
      <c r="R89" s="5"/>
      <c r="S89" s="5"/>
    </row>
    <row r="90" spans="1:19" x14ac:dyDescent="0.25">
      <c r="A90" s="27" t="s">
        <v>86</v>
      </c>
      <c r="B90" s="124">
        <f>'Escala Impuesto 2022 mensual'!D4</f>
        <v>0</v>
      </c>
      <c r="C90" s="124">
        <f>'Escala Impuesto 2022 mensual'!E4</f>
        <v>0</v>
      </c>
      <c r="D90" s="124">
        <f>'Escala Impuesto 2022 mensual'!F4</f>
        <v>0</v>
      </c>
      <c r="E90" s="124">
        <f>'Escala Impuesto 2022 mensual'!G4</f>
        <v>0</v>
      </c>
      <c r="F90" s="124">
        <f>'Escala Impuesto 2022 mensual'!H4</f>
        <v>0</v>
      </c>
      <c r="G90" s="124">
        <f>'Escala Impuesto 2022 mensual'!I4</f>
        <v>0</v>
      </c>
      <c r="H90" s="124">
        <f>'Escala Impuesto 2022 mensual'!J4</f>
        <v>0</v>
      </c>
      <c r="I90" s="124">
        <f>'Escala Impuesto 2022 mensual'!K4</f>
        <v>0</v>
      </c>
      <c r="J90" s="124">
        <f>'Escala Impuesto 2022 mensual'!L4</f>
        <v>0</v>
      </c>
      <c r="K90" s="124">
        <f>'Escala Impuesto 2022 mensual'!M4</f>
        <v>0</v>
      </c>
      <c r="L90" s="124">
        <f>'Escala Impuesto 2022 mensual'!N4</f>
        <v>0</v>
      </c>
      <c r="M90" s="124">
        <f>'Escala Impuesto 2022 mensual'!O4</f>
        <v>0</v>
      </c>
      <c r="N90" s="5"/>
      <c r="O90" s="5"/>
      <c r="P90" s="5"/>
      <c r="Q90" s="5"/>
      <c r="R90" s="5"/>
      <c r="S90" s="5"/>
    </row>
    <row r="91" spans="1:19" x14ac:dyDescent="0.25">
      <c r="A91" s="35" t="s">
        <v>87</v>
      </c>
      <c r="B91" s="125">
        <f>B90</f>
        <v>0</v>
      </c>
      <c r="C91" s="125">
        <f>C90-B90</f>
        <v>0</v>
      </c>
      <c r="D91" s="125">
        <f>D90-C90</f>
        <v>0</v>
      </c>
      <c r="E91" s="125">
        <f t="shared" ref="E91:M91" si="26">E90-D90</f>
        <v>0</v>
      </c>
      <c r="F91" s="125">
        <f t="shared" si="26"/>
        <v>0</v>
      </c>
      <c r="G91" s="125">
        <f t="shared" si="26"/>
        <v>0</v>
      </c>
      <c r="H91" s="125">
        <f t="shared" si="26"/>
        <v>0</v>
      </c>
      <c r="I91" s="125">
        <f t="shared" si="26"/>
        <v>0</v>
      </c>
      <c r="J91" s="125">
        <f t="shared" si="26"/>
        <v>0</v>
      </c>
      <c r="K91" s="125">
        <f t="shared" si="26"/>
        <v>0</v>
      </c>
      <c r="L91" s="125">
        <f t="shared" si="26"/>
        <v>0</v>
      </c>
      <c r="M91" s="125">
        <f t="shared" si="26"/>
        <v>0</v>
      </c>
    </row>
    <row r="92" spans="1:19" s="17" customFormat="1" x14ac:dyDescent="0.25">
      <c r="A92" s="54"/>
      <c r="B92" s="55"/>
      <c r="C92" s="55"/>
      <c r="D92" s="55"/>
      <c r="E92" s="55"/>
      <c r="F92" s="55"/>
      <c r="G92" s="55"/>
      <c r="H92" s="55"/>
      <c r="I92" s="149"/>
      <c r="J92" s="55"/>
      <c r="K92" s="55"/>
      <c r="L92" s="55"/>
      <c r="M92" s="55"/>
    </row>
    <row r="93" spans="1:19" x14ac:dyDescent="0.25">
      <c r="G93" s="23"/>
      <c r="H93" s="22"/>
      <c r="I93" s="23"/>
      <c r="J93" s="22"/>
    </row>
    <row r="94" spans="1:19" x14ac:dyDescent="0.25">
      <c r="A94" s="4" t="s">
        <v>88</v>
      </c>
      <c r="G94" s="23"/>
      <c r="H94" s="22"/>
      <c r="I94" s="23"/>
      <c r="J94" s="22"/>
    </row>
    <row r="95" spans="1:19" x14ac:dyDescent="0.25">
      <c r="A95" s="4"/>
      <c r="G95" s="23"/>
      <c r="H95" s="22"/>
      <c r="I95" s="23"/>
      <c r="J95" s="22"/>
    </row>
    <row r="96" spans="1:19" s="42" customFormat="1" x14ac:dyDescent="0.25">
      <c r="A96" s="41" t="s">
        <v>89</v>
      </c>
    </row>
    <row r="97" spans="1:14" s="42" customFormat="1" x14ac:dyDescent="0.25">
      <c r="A97" s="43" t="s">
        <v>63</v>
      </c>
      <c r="B97" s="136">
        <v>0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1:14" s="42" customFormat="1" x14ac:dyDescent="0.25">
      <c r="A98" s="43" t="s">
        <v>64</v>
      </c>
      <c r="B98" s="137">
        <v>0</v>
      </c>
      <c r="G98" s="45"/>
      <c r="H98" s="43"/>
      <c r="I98" s="45"/>
      <c r="J98" s="43"/>
    </row>
    <row r="99" spans="1:14" s="42" customFormat="1" x14ac:dyDescent="0.25">
      <c r="A99" s="43" t="s">
        <v>65</v>
      </c>
      <c r="B99" s="137">
        <v>0</v>
      </c>
      <c r="G99" s="45"/>
      <c r="H99" s="43"/>
      <c r="I99" s="45"/>
      <c r="J99" s="43"/>
    </row>
    <row r="100" spans="1:14" x14ac:dyDescent="0.25">
      <c r="A100" s="39"/>
      <c r="G100" s="23"/>
      <c r="H100" s="22"/>
      <c r="I100" s="23"/>
      <c r="J100" s="22"/>
    </row>
    <row r="101" spans="1:14" x14ac:dyDescent="0.25">
      <c r="A101" s="33"/>
      <c r="B101" s="38" t="s">
        <v>2</v>
      </c>
      <c r="C101" s="38" t="s">
        <v>3</v>
      </c>
      <c r="D101" s="38" t="s">
        <v>4</v>
      </c>
      <c r="E101" s="38" t="s">
        <v>5</v>
      </c>
      <c r="F101" s="38" t="s">
        <v>6</v>
      </c>
      <c r="G101" s="38" t="s">
        <v>7</v>
      </c>
      <c r="H101" s="38" t="s">
        <v>8</v>
      </c>
      <c r="I101" s="38" t="s">
        <v>9</v>
      </c>
      <c r="J101" s="38" t="s">
        <v>10</v>
      </c>
      <c r="K101" s="38" t="s">
        <v>11</v>
      </c>
      <c r="L101" s="38" t="s">
        <v>12</v>
      </c>
      <c r="M101" s="38" t="s">
        <v>13</v>
      </c>
    </row>
    <row r="102" spans="1:14" x14ac:dyDescent="0.25">
      <c r="A102" s="39"/>
      <c r="G102" s="23"/>
      <c r="H102" s="22"/>
      <c r="I102" s="23"/>
      <c r="J102" s="22"/>
    </row>
    <row r="103" spans="1:14" hidden="1" x14ac:dyDescent="0.25">
      <c r="A103" s="9" t="s">
        <v>63</v>
      </c>
      <c r="B103" s="144">
        <v>19621.439999999999</v>
      </c>
      <c r="C103" s="144">
        <v>39242.870000000003</v>
      </c>
      <c r="D103" s="144">
        <v>58864.31</v>
      </c>
      <c r="E103" s="144">
        <v>78485.75</v>
      </c>
      <c r="F103" s="144">
        <v>98107.19</v>
      </c>
      <c r="G103" s="144">
        <v>117728.62</v>
      </c>
      <c r="H103" s="144">
        <v>137350.06</v>
      </c>
      <c r="I103" s="144">
        <v>156971.5</v>
      </c>
      <c r="J103" s="144">
        <v>176592.93</v>
      </c>
      <c r="K103" s="144">
        <v>196214.37</v>
      </c>
      <c r="L103" s="144">
        <v>215835.81</v>
      </c>
      <c r="M103" s="144">
        <v>235457.25</v>
      </c>
      <c r="N103" s="52"/>
    </row>
    <row r="104" spans="1:14" hidden="1" x14ac:dyDescent="0.25">
      <c r="A104" s="9" t="s">
        <v>64</v>
      </c>
      <c r="B104" s="144">
        <v>9895.16</v>
      </c>
      <c r="C104" s="144">
        <v>19790.330000000002</v>
      </c>
      <c r="D104" s="144">
        <v>29685.49</v>
      </c>
      <c r="E104" s="144">
        <v>39580.660000000003</v>
      </c>
      <c r="F104" s="144">
        <v>49475.82</v>
      </c>
      <c r="G104" s="144">
        <v>59370.99</v>
      </c>
      <c r="H104" s="144">
        <v>69266.149999999994</v>
      </c>
      <c r="I104" s="144">
        <v>79161.31</v>
      </c>
      <c r="J104" s="144">
        <v>89056.48</v>
      </c>
      <c r="K104" s="144">
        <v>98951.64</v>
      </c>
      <c r="L104" s="144">
        <v>108846.81</v>
      </c>
      <c r="M104" s="144">
        <v>118741.97</v>
      </c>
      <c r="N104" s="52"/>
    </row>
    <row r="105" spans="1:14" hidden="1" x14ac:dyDescent="0.25">
      <c r="A105" s="9" t="s">
        <v>65</v>
      </c>
      <c r="B105" s="144">
        <v>19790.330000000002</v>
      </c>
      <c r="C105" s="144">
        <f t="shared" ref="C105:M105" si="27">C104*2</f>
        <v>39580.660000000003</v>
      </c>
      <c r="D105" s="144">
        <v>59370.99</v>
      </c>
      <c r="E105" s="144">
        <v>79161.31</v>
      </c>
      <c r="F105" s="144">
        <f t="shared" si="27"/>
        <v>98951.64</v>
      </c>
      <c r="G105" s="144">
        <v>118741.97</v>
      </c>
      <c r="H105" s="144">
        <v>138532.29999999999</v>
      </c>
      <c r="I105" s="144">
        <v>158322.63</v>
      </c>
      <c r="J105" s="144">
        <f t="shared" si="27"/>
        <v>178112.96</v>
      </c>
      <c r="K105" s="144">
        <v>197903.29</v>
      </c>
      <c r="L105" s="144">
        <f t="shared" si="27"/>
        <v>217693.62</v>
      </c>
      <c r="M105" s="144">
        <f t="shared" si="27"/>
        <v>237483.94</v>
      </c>
      <c r="N105" s="52"/>
    </row>
    <row r="106" spans="1:14" x14ac:dyDescent="0.25">
      <c r="G106" s="23"/>
      <c r="H106" s="22"/>
      <c r="I106" s="23"/>
      <c r="J106" s="22"/>
    </row>
    <row r="107" spans="1:14" x14ac:dyDescent="0.25">
      <c r="A107" s="4" t="s">
        <v>37</v>
      </c>
      <c r="G107" s="23"/>
      <c r="H107" s="22"/>
      <c r="I107" s="23"/>
      <c r="J107" s="22"/>
    </row>
    <row r="108" spans="1:14" s="17" customFormat="1" x14ac:dyDescent="0.25">
      <c r="A108" s="40" t="s">
        <v>90</v>
      </c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</row>
    <row r="109" spans="1:14" x14ac:dyDescent="0.25">
      <c r="A109" s="40" t="s">
        <v>91</v>
      </c>
      <c r="B109" s="126">
        <v>0</v>
      </c>
      <c r="C109" s="126">
        <v>0</v>
      </c>
      <c r="D109" s="126">
        <v>0</v>
      </c>
      <c r="E109" s="126"/>
      <c r="F109" s="126"/>
      <c r="G109" s="126"/>
      <c r="H109" s="126"/>
      <c r="I109" s="126"/>
      <c r="J109" s="126"/>
      <c r="K109" s="126"/>
      <c r="L109" s="126"/>
      <c r="M109" s="126"/>
    </row>
    <row r="110" spans="1:14" x14ac:dyDescent="0.25">
      <c r="A110" s="47" t="s">
        <v>92</v>
      </c>
      <c r="B110" s="48">
        <f>B109*0.4</f>
        <v>0</v>
      </c>
      <c r="C110" s="48">
        <f t="shared" ref="C110:M110" si="28">C109*0.4</f>
        <v>0</v>
      </c>
      <c r="D110" s="48">
        <f t="shared" si="28"/>
        <v>0</v>
      </c>
      <c r="E110" s="48">
        <f t="shared" si="28"/>
        <v>0</v>
      </c>
      <c r="F110" s="48">
        <f t="shared" si="28"/>
        <v>0</v>
      </c>
      <c r="G110" s="48">
        <f t="shared" si="28"/>
        <v>0</v>
      </c>
      <c r="H110" s="48">
        <f t="shared" si="28"/>
        <v>0</v>
      </c>
      <c r="I110" s="48">
        <f t="shared" si="28"/>
        <v>0</v>
      </c>
      <c r="J110" s="48">
        <f t="shared" si="28"/>
        <v>0</v>
      </c>
      <c r="K110" s="48">
        <f t="shared" si="28"/>
        <v>0</v>
      </c>
      <c r="L110" s="48">
        <f t="shared" si="28"/>
        <v>0</v>
      </c>
      <c r="M110" s="48">
        <f t="shared" si="28"/>
        <v>0</v>
      </c>
      <c r="N110" s="76"/>
    </row>
    <row r="111" spans="1:14" ht="15.75" customHeight="1" x14ac:dyDescent="0.25">
      <c r="A111" s="40" t="s">
        <v>93</v>
      </c>
      <c r="B111" s="126">
        <v>0</v>
      </c>
      <c r="C111" s="126">
        <v>0</v>
      </c>
      <c r="D111" s="126">
        <v>0</v>
      </c>
      <c r="E111" s="126"/>
      <c r="F111" s="126"/>
      <c r="G111" s="126"/>
      <c r="H111" s="126"/>
      <c r="I111" s="126"/>
      <c r="J111" s="126"/>
      <c r="K111" s="126"/>
      <c r="L111" s="126"/>
      <c r="M111" s="126"/>
    </row>
    <row r="112" spans="1:14" ht="15.75" customHeight="1" x14ac:dyDescent="0.25">
      <c r="A112" s="13" t="s">
        <v>94</v>
      </c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</row>
    <row r="113" spans="1:19" ht="15.75" customHeight="1" x14ac:dyDescent="0.25">
      <c r="A113" s="49" t="s">
        <v>95</v>
      </c>
      <c r="B113" s="50">
        <f t="shared" ref="B113:M113" si="29">B75*0.4</f>
        <v>8418.8279999999995</v>
      </c>
      <c r="C113" s="50">
        <f t="shared" si="29"/>
        <v>16837.655999999999</v>
      </c>
      <c r="D113" s="50">
        <f t="shared" si="29"/>
        <v>25256.484</v>
      </c>
      <c r="E113" s="50">
        <f t="shared" si="29"/>
        <v>33675.311999999998</v>
      </c>
      <c r="F113" s="50">
        <f t="shared" si="29"/>
        <v>42094.140000000007</v>
      </c>
      <c r="G113" s="50">
        <f t="shared" si="29"/>
        <v>50512.968000000001</v>
      </c>
      <c r="H113" s="50">
        <f t="shared" si="29"/>
        <v>58931.796000000002</v>
      </c>
      <c r="I113" s="50">
        <f t="shared" si="29"/>
        <v>67350.623999999996</v>
      </c>
      <c r="J113" s="50">
        <f t="shared" si="29"/>
        <v>75769.452000000005</v>
      </c>
      <c r="K113" s="50">
        <f t="shared" si="29"/>
        <v>84188.280000000013</v>
      </c>
      <c r="L113" s="50">
        <f t="shared" si="29"/>
        <v>92607.108000000007</v>
      </c>
      <c r="M113" s="50">
        <f t="shared" si="29"/>
        <v>101025.936</v>
      </c>
      <c r="N113" s="76"/>
    </row>
    <row r="114" spans="1:19" ht="15.75" customHeight="1" x14ac:dyDescent="0.25">
      <c r="A114" s="13" t="s">
        <v>96</v>
      </c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</row>
    <row r="115" spans="1:19" ht="15.75" customHeight="1" x14ac:dyDescent="0.25">
      <c r="A115" s="13" t="s">
        <v>56</v>
      </c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</row>
    <row r="116" spans="1:19" ht="15.75" customHeight="1" x14ac:dyDescent="0.25">
      <c r="A116" s="67" t="s">
        <v>97</v>
      </c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</row>
    <row r="117" spans="1:19" ht="15.75" customHeight="1" x14ac:dyDescent="0.25">
      <c r="A117" s="67" t="s">
        <v>98</v>
      </c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</row>
    <row r="118" spans="1:19" ht="15.75" customHeight="1" x14ac:dyDescent="0.25">
      <c r="A118" s="75" t="s">
        <v>99</v>
      </c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76"/>
    </row>
    <row r="119" spans="1:19" ht="15.75" customHeight="1" x14ac:dyDescent="0.25">
      <c r="A119" s="70"/>
      <c r="B119" s="71">
        <f>B118*0.4</f>
        <v>0</v>
      </c>
      <c r="C119" s="71">
        <f t="shared" ref="C119:M119" si="30">C118*0.4</f>
        <v>0</v>
      </c>
      <c r="D119" s="71">
        <f t="shared" si="30"/>
        <v>0</v>
      </c>
      <c r="E119" s="71">
        <f t="shared" si="30"/>
        <v>0</v>
      </c>
      <c r="F119" s="71">
        <f t="shared" si="30"/>
        <v>0</v>
      </c>
      <c r="G119" s="71">
        <f t="shared" si="30"/>
        <v>0</v>
      </c>
      <c r="H119" s="71">
        <f t="shared" si="30"/>
        <v>0</v>
      </c>
      <c r="I119" s="71">
        <f t="shared" si="30"/>
        <v>0</v>
      </c>
      <c r="J119" s="71">
        <f t="shared" si="30"/>
        <v>0</v>
      </c>
      <c r="K119" s="71">
        <f t="shared" si="30"/>
        <v>0</v>
      </c>
      <c r="L119" s="71">
        <f t="shared" si="30"/>
        <v>0</v>
      </c>
      <c r="M119" s="71">
        <f t="shared" si="30"/>
        <v>0</v>
      </c>
      <c r="N119" s="76"/>
    </row>
    <row r="120" spans="1:19" ht="15.75" customHeight="1" x14ac:dyDescent="0.25">
      <c r="A120" s="13" t="s">
        <v>100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</row>
    <row r="121" spans="1:19" ht="15.75" customHeight="1" x14ac:dyDescent="0.25">
      <c r="G121" s="22"/>
      <c r="H121" s="22"/>
      <c r="I121" s="23"/>
      <c r="J121" s="22"/>
    </row>
    <row r="122" spans="1:19" ht="15.75" customHeight="1" x14ac:dyDescent="0.25">
      <c r="B122" s="5"/>
      <c r="G122" s="22"/>
      <c r="H122" s="22"/>
      <c r="I122" s="23"/>
      <c r="J122" s="22"/>
    </row>
    <row r="123" spans="1:19" x14ac:dyDescent="0.25">
      <c r="A123" s="74" t="s">
        <v>101</v>
      </c>
      <c r="B123" s="69">
        <f>B70*0.05</f>
        <v>0</v>
      </c>
      <c r="C123" s="69">
        <f t="shared" ref="C123:M123" si="31">C70*0.05</f>
        <v>0</v>
      </c>
      <c r="D123" s="69">
        <f t="shared" si="31"/>
        <v>0</v>
      </c>
      <c r="E123" s="69">
        <f t="shared" si="31"/>
        <v>0</v>
      </c>
      <c r="F123" s="69">
        <f t="shared" si="31"/>
        <v>0</v>
      </c>
      <c r="G123" s="69">
        <f t="shared" si="31"/>
        <v>0</v>
      </c>
      <c r="H123" s="69">
        <f t="shared" si="31"/>
        <v>0</v>
      </c>
      <c r="I123" s="69">
        <f t="shared" si="31"/>
        <v>0</v>
      </c>
      <c r="J123" s="69">
        <f t="shared" si="31"/>
        <v>0</v>
      </c>
      <c r="K123" s="69">
        <f t="shared" si="31"/>
        <v>0</v>
      </c>
      <c r="L123" s="69">
        <f t="shared" si="31"/>
        <v>0</v>
      </c>
      <c r="M123" s="69">
        <f t="shared" si="31"/>
        <v>0</v>
      </c>
    </row>
    <row r="124" spans="1:19" s="17" customFormat="1" hidden="1" x14ac:dyDescent="0.25">
      <c r="A124" s="148" t="s">
        <v>145</v>
      </c>
      <c r="B124" s="146">
        <f>IF(($B$70-$B$73-$B$75-$B$76-$B$77-$B$78-$B$79)&gt;0, $B$69-$B$73-$B$75-$B$76-$B$77-$B$78-$B$79,0)</f>
        <v>0</v>
      </c>
      <c r="C124" s="146">
        <f>IF(($C$70-$C$73-$C$75-$C$76-$C$77-$C$78-$C$79-$B$81-$B$83)&gt;0,$C$69-$C$73-$B$73-$B$75-$B$76-$B$77-$B$78-$B$79,0)</f>
        <v>0</v>
      </c>
      <c r="D124" s="146">
        <f>IF(($D$70-$D$73-$D$75-$D$76-$D$77-$D$78-$D$79-$C$81-$C$83)&gt;0,$D$69-$D$73-$C$73-$B$75-$B$76-$B$77-$B$78-$B$79,0)</f>
        <v>0</v>
      </c>
      <c r="E124" s="146">
        <f>IF(($E$70-$E$73-$E$75-$E$76-$E$77-$E$78-$E$79-$D$81-$D$83)&gt;0,$E$69-$E$73-$D$73-$B$75-$B$76-$B$77-$B$78-$B$79,0)</f>
        <v>0</v>
      </c>
      <c r="F124" s="146">
        <f>IF(($F$70-$F$73-$F$75-$F$76-$F$77-$F$78-$F$79-$E$81-$E$83)&gt;0,$F$69-$F$73-$E$73-$B$75-$B$76-$B$77-$B$78-$B$79,0)</f>
        <v>0</v>
      </c>
      <c r="G124" s="146">
        <f>IF(($G$70-$G$73-$G$75-$G$76-$G$77-$G$78-$G$79-$F$81-$F$83)&gt;0,$G$69-$G$73-$F$73-$B$75-$B$76-$B$77-$B$78-$B$79,0)</f>
        <v>0</v>
      </c>
      <c r="H124" s="146">
        <f>IF(($H$70-$H$73-$H$75-$H$76-$H$77-$H$78-$H$79-$G$81-$G$83)&gt;0,$H$69-$H$73-$G$73-$B$75-$B$76-$B$77-$B$78-$B$79,0)</f>
        <v>0</v>
      </c>
      <c r="I124" s="146">
        <f>IF(($I$70-$I$73-$I$75-$I$76-$I$77-$I$78-$I$79-$H$81-$H$83)&gt;0,$I$69-$I$73-$H$73-$B$75-$B$76-$B$77-$B$78-$B$79,0)</f>
        <v>0</v>
      </c>
      <c r="J124" s="146">
        <f>IF(($J$70-$J$73-$J$75-$J$76-$J$77-$J$78-$J$79-$I$81-$I$83)&gt;0,$J$69-$J$73-$I$73-$B$75-$B$76-$B$77-$B$78-$B$79,0)</f>
        <v>0</v>
      </c>
      <c r="K124" s="146">
        <f>IF(($K$70-$K$73-$K$75-$K$76-$K$77-$K$78-$K$79-$J$81-$J$83)&gt;0,$K$69-$K$73-$J$73-$B$75-$B$76-$B$77-$B$78-$B$79,0)</f>
        <v>0</v>
      </c>
      <c r="L124" s="146">
        <f>IF(($L$70-$L$73-$L$75-$L$76-$L$77-$L$78-$L$79-$K$81-$K$83)&gt;0,$L$69-$L$73-$K$73-$B$75-$B$76-$B$77-$B$78-$B$79,0)</f>
        <v>0</v>
      </c>
      <c r="M124" s="146">
        <f>IF(($M$70-$M$73-$M$75-$M$76-$M$77-$M$78-$M$79-$L$81-$L$83)&gt;0,$M$69-$M$73-$L$73-$B$75-$B$76-$B$77-$B$78-$B$79,0)</f>
        <v>0</v>
      </c>
    </row>
    <row r="125" spans="1:19" s="17" customFormat="1" hidden="1" x14ac:dyDescent="0.25">
      <c r="A125" s="145" t="s">
        <v>134</v>
      </c>
      <c r="B125" s="146">
        <f>IF(($B$70-$B$73-$B$75-$B$76-$B$77-$B$78-$B$79)&gt;0, $B$70-$B$73-$B$75-$B$76-$B$77-$B$78-$B$79,0)</f>
        <v>0</v>
      </c>
      <c r="C125" s="146">
        <f>IF(($C$70-$C$73-$C$75-$C$76-$C$77-$C$78-$C$79-$B$81-$B$83)&gt;0, $C$70-$C$73-$C$75-$C$76-$C$77-$C$78-$C$79-$B$81-$B$83,0)</f>
        <v>0</v>
      </c>
      <c r="D125" s="146">
        <f t="shared" ref="D125:M125" si="32">IF((D70-D73-D75-D76-D77-D78-D79-C81-C83)&gt;0, D70-D73-D75-D76-D77-D78-D79-C81-C83,0)</f>
        <v>0</v>
      </c>
      <c r="E125" s="146">
        <f t="shared" si="32"/>
        <v>0</v>
      </c>
      <c r="F125" s="146">
        <f t="shared" si="32"/>
        <v>0</v>
      </c>
      <c r="G125" s="146">
        <f t="shared" si="32"/>
        <v>0</v>
      </c>
      <c r="H125" s="146">
        <f t="shared" si="32"/>
        <v>0</v>
      </c>
      <c r="I125" s="146">
        <f t="shared" si="32"/>
        <v>0</v>
      </c>
      <c r="J125" s="146">
        <f t="shared" si="32"/>
        <v>0</v>
      </c>
      <c r="K125" s="146">
        <f t="shared" si="32"/>
        <v>0</v>
      </c>
      <c r="L125" s="146">
        <f t="shared" si="32"/>
        <v>0</v>
      </c>
      <c r="M125" s="146">
        <f t="shared" si="32"/>
        <v>0</v>
      </c>
    </row>
    <row r="126" spans="1:19" s="17" customFormat="1" hidden="1" x14ac:dyDescent="0.25">
      <c r="A126" s="148" t="s">
        <v>146</v>
      </c>
      <c r="B126" s="146">
        <f>MIN(B124,B125)</f>
        <v>0</v>
      </c>
      <c r="C126" s="146">
        <f t="shared" ref="C126:M126" si="33">MIN(C124,C125)</f>
        <v>0</v>
      </c>
      <c r="D126" s="146">
        <f t="shared" si="33"/>
        <v>0</v>
      </c>
      <c r="E126" s="146">
        <f t="shared" si="33"/>
        <v>0</v>
      </c>
      <c r="F126" s="146">
        <f t="shared" si="33"/>
        <v>0</v>
      </c>
      <c r="G126" s="146">
        <f t="shared" si="33"/>
        <v>0</v>
      </c>
      <c r="H126" s="146">
        <f t="shared" si="33"/>
        <v>0</v>
      </c>
      <c r="I126" s="146">
        <f t="shared" si="33"/>
        <v>0</v>
      </c>
      <c r="J126" s="146">
        <f t="shared" si="33"/>
        <v>0</v>
      </c>
      <c r="K126" s="146">
        <f t="shared" si="33"/>
        <v>0</v>
      </c>
      <c r="L126" s="146">
        <f t="shared" si="33"/>
        <v>0</v>
      </c>
      <c r="M126" s="146">
        <f t="shared" si="33"/>
        <v>0</v>
      </c>
    </row>
    <row r="127" spans="1:19" s="17" customFormat="1" ht="15" hidden="1" customHeight="1" x14ac:dyDescent="0.25">
      <c r="A127" s="41" t="s">
        <v>132</v>
      </c>
    </row>
    <row r="128" spans="1:19" s="82" customFormat="1" ht="15" hidden="1" customHeight="1" x14ac:dyDescent="0.25">
      <c r="A128" s="88" t="s">
        <v>120</v>
      </c>
      <c r="B128" s="89">
        <f>IF($B$39&lt;=451873.65,$B$10+$B$31,0)</f>
        <v>0</v>
      </c>
      <c r="C128" s="89">
        <f>IF($C$39&lt;=451873.65,$C$10+$C$31,0)</f>
        <v>0</v>
      </c>
      <c r="D128" s="89">
        <f>IF($D$39&lt;=451873.65,$D$10+$D$31,0)</f>
        <v>0</v>
      </c>
      <c r="E128" s="89">
        <f>IF($E$39&lt;=451873.65,$E$10+$E$31,0)</f>
        <v>0</v>
      </c>
      <c r="F128" s="89">
        <f>IF($F$39&lt;=451873.65,$F$10+$F$31,0)</f>
        <v>0</v>
      </c>
      <c r="G128" s="89">
        <f>IF($G$39&lt;=451873.65,$G$10+$G$31,0)</f>
        <v>0</v>
      </c>
      <c r="H128" s="89">
        <f>IF($H$39&lt;=451873.65,$H$10+$H$31,0)</f>
        <v>0</v>
      </c>
      <c r="I128" s="89">
        <f>IF($I$39&lt;=451873.65,$I$10+$I$31,0)</f>
        <v>0</v>
      </c>
      <c r="J128" s="89">
        <f>IF($J$39&lt;=451873.65,$J$10+$J$31,0)</f>
        <v>0</v>
      </c>
      <c r="K128" s="89">
        <f>IF($K$39&lt;=451873.65,$K$10+$K$31,0)</f>
        <v>0</v>
      </c>
      <c r="L128" s="89">
        <f>IF($L$39&lt;=451873.65,$L$10+$L$31,0)</f>
        <v>0</v>
      </c>
      <c r="M128" s="89">
        <f>IF($M$39&lt;=451873.65,$M$10+$M$31,0)</f>
        <v>0</v>
      </c>
      <c r="N128" s="76"/>
      <c r="O128" s="81"/>
      <c r="P128" s="81"/>
      <c r="Q128" s="81"/>
      <c r="R128" s="81"/>
      <c r="S128" s="81"/>
    </row>
    <row r="129" spans="1:19" s="82" customFormat="1" ht="15" hidden="1" customHeight="1" x14ac:dyDescent="0.25">
      <c r="A129" s="88" t="s">
        <v>121</v>
      </c>
      <c r="B129" s="89">
        <f>IF($B$128&gt;101025.94,101025.94,$B$128)</f>
        <v>0</v>
      </c>
      <c r="C129" s="89">
        <f>IF($B$128+$C$128&gt;101025.94,101025.94-$B$129,$C$128)</f>
        <v>0</v>
      </c>
      <c r="D129" s="89">
        <f>IF($B$128+$C$128+$D$128&gt;101025.94,101025.94-$C$129-$B$129,$D$128)</f>
        <v>0</v>
      </c>
      <c r="E129" s="89">
        <f>IF($B$128+$C$128+$D$128+$E$128&gt;101025.94,101025.94-$D$129-$C$129-$B$129,$E$128)</f>
        <v>0</v>
      </c>
      <c r="F129" s="89">
        <f>IF($B$128+$C$128+$D$128+$E$128+$F$128&gt;101025.94,101025.94-$B$129-$E$129-$D$129-$C$129,$F$128)</f>
        <v>0</v>
      </c>
      <c r="G129" s="89">
        <f>IF($B$128+$C$128+$D$128+$E$128+$F$128+$G$128&gt;101025.94,101025.94-$B$129-$C$129-$F$129-$E$129-$D$129,$G$128)</f>
        <v>0</v>
      </c>
      <c r="H129" s="89">
        <f>IF($B$128+$C$128+$D$128+$E$128+$F$128+$G$128+$H$128&gt;101025.94,101025.94-$B$129-$C$129-$D$129-$G$129-$F$129-$E$129,$H$128)</f>
        <v>0</v>
      </c>
      <c r="I129" s="89">
        <f>IF($B$128+$C$128+$D$128+$E$128+$F$128+$G$128+$H$128+$I$128&gt;101025.94,101025.94-$B$129-$C$129-$D$129-$E$129-$H$129-$G$129-$F$129,$I$128)</f>
        <v>0</v>
      </c>
      <c r="J129" s="89">
        <f>IF($B$128+$C$128+$D$128+$E$128+$F$128+$G$128+$H$128+$I$128+$J$128&gt;101025.94,101025.94-$B$129-$C$129-$D$129-$E$129-$F$129-$I$129-$H$129-$G$129,$J$128)</f>
        <v>0</v>
      </c>
      <c r="K129" s="89">
        <f>IF($B$128+$C$128+$D$128+$E$128+$F$128+$G$128+$H$128+$I$128+$J$128+$K$128&gt;101025.94,101025.94-$B$129-$C$129-$D$129-$E$129-$F$129-$G$129-$J$129-$I$129-$H$129,$K$128)</f>
        <v>0</v>
      </c>
      <c r="L129" s="89">
        <f>IF($B$128+$C$128+$D$128+$E$128+$F$128+$G$128+$H$128+$I$128+$J$128+$K$128+$L$128&gt;101025.94,101025.94-$B$129-$C$129-$D$129-$E$129-$F$129-$G$129-$H$129-$K$129-$J$129-$I$129,$L$128)</f>
        <v>0</v>
      </c>
      <c r="M129" s="89">
        <f>IF($B$128+$C$128+$D$128+$E$128+$F$128+$G$128+$H$128+$I$128+$J$128+$K$128+$L$128+$M$128&gt;101025.94,101025.94-$B$129-$C$129-$D$129-$E$129-$F$129-$G$129-$H$129-$I$129-$L$129-$K$129-$J$129,$M$128)</f>
        <v>0</v>
      </c>
      <c r="N129" s="76"/>
      <c r="O129" s="81"/>
      <c r="P129" s="81"/>
      <c r="Q129" s="81"/>
      <c r="R129" s="81"/>
      <c r="S129" s="81"/>
    </row>
    <row r="130" spans="1:19" s="82" customFormat="1" ht="15" hidden="1" customHeight="1" x14ac:dyDescent="0.25">
      <c r="A130" s="88" t="s">
        <v>122</v>
      </c>
      <c r="B130" s="89">
        <f>+B128-B129</f>
        <v>0</v>
      </c>
      <c r="C130" s="89">
        <f t="shared" ref="C130:M130" si="34">+C128-C129</f>
        <v>0</v>
      </c>
      <c r="D130" s="89">
        <f t="shared" si="34"/>
        <v>0</v>
      </c>
      <c r="E130" s="89">
        <f t="shared" si="34"/>
        <v>0</v>
      </c>
      <c r="F130" s="89">
        <f t="shared" si="34"/>
        <v>0</v>
      </c>
      <c r="G130" s="89">
        <f t="shared" si="34"/>
        <v>0</v>
      </c>
      <c r="H130" s="89">
        <f t="shared" si="34"/>
        <v>0</v>
      </c>
      <c r="I130" s="89">
        <f t="shared" si="34"/>
        <v>0</v>
      </c>
      <c r="J130" s="89">
        <f t="shared" si="34"/>
        <v>0</v>
      </c>
      <c r="K130" s="89">
        <f t="shared" si="34"/>
        <v>0</v>
      </c>
      <c r="L130" s="89">
        <f t="shared" si="34"/>
        <v>0</v>
      </c>
      <c r="M130" s="89">
        <f t="shared" si="34"/>
        <v>0</v>
      </c>
      <c r="N130" s="76"/>
      <c r="O130" s="81"/>
      <c r="P130" s="81"/>
      <c r="Q130" s="81"/>
      <c r="R130" s="81"/>
      <c r="S130" s="81"/>
    </row>
    <row r="131" spans="1:19" s="82" customFormat="1" ht="15" hidden="1" customHeight="1" x14ac:dyDescent="0.25">
      <c r="A131" s="88" t="s">
        <v>123</v>
      </c>
      <c r="B131" s="89">
        <f>IF($B$39&gt;451873.65,($B$10+$B$31),0)</f>
        <v>0</v>
      </c>
      <c r="C131" s="89">
        <f>IF($C$39&gt;451873.65,($C$10+$C$31),0)</f>
        <v>0</v>
      </c>
      <c r="D131" s="89">
        <f>IF($D$39&gt;451873.65,($D$10+$D$31),0)</f>
        <v>0</v>
      </c>
      <c r="E131" s="89">
        <f>IF($E$39&gt;451873.65,($E$10+$E$31),0)</f>
        <v>0</v>
      </c>
      <c r="F131" s="89">
        <f>IF($F$39&gt;451873.65,($F$10+$F$31),0)</f>
        <v>0</v>
      </c>
      <c r="G131" s="89">
        <f>IF($G$39&gt;451873.65,($G$10+$G$31),0)</f>
        <v>0</v>
      </c>
      <c r="H131" s="89">
        <f>IF($H$39&gt;451873.65,($H$10+$H$31),0)</f>
        <v>0</v>
      </c>
      <c r="I131" s="89">
        <f>IF($I$39&gt;451873.65,($I$10+$I$31),0)</f>
        <v>0</v>
      </c>
      <c r="J131" s="89">
        <f>IF($J$39&gt;451873.65,($J$10+$J$31),0)</f>
        <v>0</v>
      </c>
      <c r="K131" s="89">
        <f>IF($K$39&gt;451873.65,($K$10+$K$31),0)</f>
        <v>0</v>
      </c>
      <c r="L131" s="89">
        <f>IF($L$39&gt;451873.65,($L$10+$L$31),0)</f>
        <v>0</v>
      </c>
      <c r="M131" s="89">
        <f>IF($M$39&gt;451873.65,($M$10+$M$31),0)</f>
        <v>0</v>
      </c>
      <c r="N131" s="76"/>
      <c r="O131" s="81"/>
      <c r="P131" s="81"/>
      <c r="Q131" s="81"/>
      <c r="R131" s="81"/>
      <c r="S131" s="81"/>
    </row>
    <row r="132" spans="1:19" s="82" customFormat="1" ht="15" hidden="1" customHeight="1" x14ac:dyDescent="0.25">
      <c r="A132" s="90" t="s">
        <v>125</v>
      </c>
      <c r="B132" s="91">
        <f>+$B$10</f>
        <v>0</v>
      </c>
      <c r="C132" s="91">
        <f>+$C$10</f>
        <v>0</v>
      </c>
      <c r="D132" s="91">
        <f>+$D$10</f>
        <v>0</v>
      </c>
      <c r="E132" s="91">
        <f>+$E$10</f>
        <v>0</v>
      </c>
      <c r="F132" s="91">
        <f>+$F$10</f>
        <v>0</v>
      </c>
      <c r="G132" s="91">
        <f>+$G$10</f>
        <v>0</v>
      </c>
      <c r="H132" s="91">
        <f>+$H$10</f>
        <v>0</v>
      </c>
      <c r="I132" s="91">
        <f>+$I$10</f>
        <v>0</v>
      </c>
      <c r="J132" s="91">
        <f>+$J$10</f>
        <v>0</v>
      </c>
      <c r="K132" s="91">
        <f>+$K$10</f>
        <v>0</v>
      </c>
      <c r="L132" s="91">
        <f>+$L$10</f>
        <v>0</v>
      </c>
      <c r="M132" s="91">
        <f>+$M$10</f>
        <v>0</v>
      </c>
      <c r="N132" s="76"/>
      <c r="O132" s="81"/>
      <c r="P132" s="81"/>
      <c r="Q132" s="81"/>
      <c r="R132" s="81"/>
      <c r="S132" s="81"/>
    </row>
    <row r="133" spans="1:19" s="82" customFormat="1" ht="15" hidden="1" customHeight="1" x14ac:dyDescent="0.25">
      <c r="A133" s="90" t="s">
        <v>126</v>
      </c>
      <c r="B133" s="91">
        <f>+$B$31</f>
        <v>0</v>
      </c>
      <c r="C133" s="91">
        <f>+$C$31</f>
        <v>0</v>
      </c>
      <c r="D133" s="91">
        <f>+$D$31</f>
        <v>0</v>
      </c>
      <c r="E133" s="91">
        <f>+$E$31</f>
        <v>0</v>
      </c>
      <c r="F133" s="91">
        <f>+$F$31</f>
        <v>0</v>
      </c>
      <c r="G133" s="91">
        <f>+$G$31</f>
        <v>0</v>
      </c>
      <c r="H133" s="91">
        <f>+$H$31</f>
        <v>0</v>
      </c>
      <c r="I133" s="91">
        <f>+$I$31</f>
        <v>0</v>
      </c>
      <c r="J133" s="91">
        <f>+$J$31</f>
        <v>0</v>
      </c>
      <c r="K133" s="91">
        <f>+$K$31</f>
        <v>0</v>
      </c>
      <c r="L133" s="91">
        <f>+$L$31</f>
        <v>0</v>
      </c>
      <c r="M133" s="91">
        <f>+$M$31</f>
        <v>0</v>
      </c>
      <c r="N133" s="76"/>
      <c r="O133" s="81"/>
      <c r="P133" s="81"/>
      <c r="Q133" s="81"/>
      <c r="R133" s="81"/>
      <c r="S133" s="81"/>
    </row>
    <row r="134" spans="1:19" s="82" customFormat="1" ht="15" hidden="1" customHeight="1" x14ac:dyDescent="0.25">
      <c r="A134" s="88" t="s">
        <v>127</v>
      </c>
      <c r="B134" s="84">
        <f t="shared" ref="B134:M134" si="35">SUM(B132:B133)</f>
        <v>0</v>
      </c>
      <c r="C134" s="84">
        <f t="shared" si="35"/>
        <v>0</v>
      </c>
      <c r="D134" s="84">
        <f t="shared" si="35"/>
        <v>0</v>
      </c>
      <c r="E134" s="84">
        <f t="shared" si="35"/>
        <v>0</v>
      </c>
      <c r="F134" s="84">
        <f t="shared" si="35"/>
        <v>0</v>
      </c>
      <c r="G134" s="84">
        <f t="shared" si="35"/>
        <v>0</v>
      </c>
      <c r="H134" s="84">
        <f t="shared" si="35"/>
        <v>0</v>
      </c>
      <c r="I134" s="84">
        <f t="shared" si="35"/>
        <v>0</v>
      </c>
      <c r="J134" s="84">
        <f t="shared" si="35"/>
        <v>0</v>
      </c>
      <c r="K134" s="84">
        <f t="shared" si="35"/>
        <v>0</v>
      </c>
      <c r="L134" s="84">
        <f t="shared" si="35"/>
        <v>0</v>
      </c>
      <c r="M134" s="84">
        <f t="shared" si="35"/>
        <v>0</v>
      </c>
      <c r="N134" s="76"/>
      <c r="O134" s="81"/>
      <c r="P134" s="81"/>
      <c r="Q134" s="81"/>
      <c r="R134" s="81"/>
      <c r="S134" s="81"/>
    </row>
    <row r="135" spans="1:19" s="82" customFormat="1" ht="15" hidden="1" customHeight="1" x14ac:dyDescent="0.25">
      <c r="A135" s="90" t="s">
        <v>128</v>
      </c>
      <c r="B135" s="92">
        <f t="shared" ref="B135:M135" si="36">IF(B132&gt;0, B132/B134,0)</f>
        <v>0</v>
      </c>
      <c r="C135" s="92">
        <f t="shared" si="36"/>
        <v>0</v>
      </c>
      <c r="D135" s="92">
        <f t="shared" si="36"/>
        <v>0</v>
      </c>
      <c r="E135" s="92">
        <f t="shared" si="36"/>
        <v>0</v>
      </c>
      <c r="F135" s="92">
        <f t="shared" si="36"/>
        <v>0</v>
      </c>
      <c r="G135" s="92">
        <f t="shared" si="36"/>
        <v>0</v>
      </c>
      <c r="H135" s="92">
        <f t="shared" si="36"/>
        <v>0</v>
      </c>
      <c r="I135" s="92">
        <f t="shared" si="36"/>
        <v>0</v>
      </c>
      <c r="J135" s="92">
        <f t="shared" si="36"/>
        <v>0</v>
      </c>
      <c r="K135" s="92">
        <f t="shared" si="36"/>
        <v>0</v>
      </c>
      <c r="L135" s="92">
        <f t="shared" si="36"/>
        <v>0</v>
      </c>
      <c r="M135" s="92">
        <f t="shared" si="36"/>
        <v>0</v>
      </c>
      <c r="N135" s="76"/>
      <c r="O135" s="83"/>
      <c r="P135" s="84"/>
      <c r="Q135" s="81"/>
      <c r="R135" s="81"/>
      <c r="S135" s="81"/>
    </row>
    <row r="136" spans="1:19" s="82" customFormat="1" ht="15" hidden="1" customHeight="1" x14ac:dyDescent="0.25">
      <c r="A136" s="90" t="s">
        <v>129</v>
      </c>
      <c r="B136" s="92">
        <f t="shared" ref="B136:M136" si="37">IF(B133&gt;0,+B133/B134,0)</f>
        <v>0</v>
      </c>
      <c r="C136" s="92">
        <f t="shared" si="37"/>
        <v>0</v>
      </c>
      <c r="D136" s="92">
        <f t="shared" si="37"/>
        <v>0</v>
      </c>
      <c r="E136" s="92">
        <f t="shared" si="37"/>
        <v>0</v>
      </c>
      <c r="F136" s="92">
        <f t="shared" si="37"/>
        <v>0</v>
      </c>
      <c r="G136" s="92">
        <f t="shared" si="37"/>
        <v>0</v>
      </c>
      <c r="H136" s="92">
        <f t="shared" si="37"/>
        <v>0</v>
      </c>
      <c r="I136" s="92">
        <f t="shared" si="37"/>
        <v>0</v>
      </c>
      <c r="J136" s="92">
        <f t="shared" si="37"/>
        <v>0</v>
      </c>
      <c r="K136" s="92">
        <f t="shared" si="37"/>
        <v>0</v>
      </c>
      <c r="L136" s="92">
        <f t="shared" si="37"/>
        <v>0</v>
      </c>
      <c r="M136" s="92">
        <f t="shared" si="37"/>
        <v>0</v>
      </c>
      <c r="N136" s="76"/>
      <c r="O136" s="83"/>
      <c r="P136" s="84"/>
      <c r="Q136" s="81"/>
      <c r="R136" s="81"/>
      <c r="S136" s="81"/>
    </row>
    <row r="137" spans="1:19" s="82" customFormat="1" ht="15" hidden="1" customHeight="1" x14ac:dyDescent="0.25">
      <c r="A137" s="88" t="s">
        <v>124</v>
      </c>
      <c r="B137" s="93">
        <f t="shared" ref="B137:M137" si="38">+B130+B131</f>
        <v>0</v>
      </c>
      <c r="C137" s="93">
        <f t="shared" si="38"/>
        <v>0</v>
      </c>
      <c r="D137" s="93">
        <f t="shared" si="38"/>
        <v>0</v>
      </c>
      <c r="E137" s="93">
        <f t="shared" si="38"/>
        <v>0</v>
      </c>
      <c r="F137" s="93">
        <f t="shared" si="38"/>
        <v>0</v>
      </c>
      <c r="G137" s="93">
        <f t="shared" si="38"/>
        <v>0</v>
      </c>
      <c r="H137" s="93">
        <f t="shared" si="38"/>
        <v>0</v>
      </c>
      <c r="I137" s="93">
        <f t="shared" si="38"/>
        <v>0</v>
      </c>
      <c r="J137" s="93">
        <f t="shared" si="38"/>
        <v>0</v>
      </c>
      <c r="K137" s="93">
        <f t="shared" si="38"/>
        <v>0</v>
      </c>
      <c r="L137" s="93">
        <f t="shared" si="38"/>
        <v>0</v>
      </c>
      <c r="M137" s="93">
        <f t="shared" si="38"/>
        <v>0</v>
      </c>
      <c r="N137" s="76"/>
      <c r="O137" s="83"/>
      <c r="P137" s="84"/>
      <c r="Q137" s="81"/>
      <c r="R137" s="81"/>
      <c r="S137" s="81"/>
    </row>
    <row r="138" spans="1:19" s="82" customFormat="1" ht="15" hidden="1" customHeight="1" x14ac:dyDescent="0.25">
      <c r="A138" s="90" t="s">
        <v>130</v>
      </c>
      <c r="B138" s="92">
        <f t="shared" ref="B138:M138" si="39">+B137*B135</f>
        <v>0</v>
      </c>
      <c r="C138" s="92">
        <f t="shared" si="39"/>
        <v>0</v>
      </c>
      <c r="D138" s="92">
        <f t="shared" si="39"/>
        <v>0</v>
      </c>
      <c r="E138" s="92">
        <f t="shared" si="39"/>
        <v>0</v>
      </c>
      <c r="F138" s="92">
        <f t="shared" si="39"/>
        <v>0</v>
      </c>
      <c r="G138" s="92">
        <f t="shared" si="39"/>
        <v>0</v>
      </c>
      <c r="H138" s="92">
        <f t="shared" si="39"/>
        <v>0</v>
      </c>
      <c r="I138" s="92">
        <f t="shared" si="39"/>
        <v>0</v>
      </c>
      <c r="J138" s="92">
        <f t="shared" si="39"/>
        <v>0</v>
      </c>
      <c r="K138" s="92">
        <f t="shared" si="39"/>
        <v>0</v>
      </c>
      <c r="L138" s="92">
        <f t="shared" si="39"/>
        <v>0</v>
      </c>
      <c r="M138" s="92">
        <f t="shared" si="39"/>
        <v>0</v>
      </c>
      <c r="N138" s="76"/>
      <c r="O138" s="83"/>
      <c r="P138" s="84"/>
      <c r="Q138" s="81"/>
      <c r="R138" s="81"/>
      <c r="S138" s="81"/>
    </row>
    <row r="139" spans="1:19" s="82" customFormat="1" ht="15" hidden="1" customHeight="1" x14ac:dyDescent="0.25">
      <c r="A139" s="90" t="s">
        <v>131</v>
      </c>
      <c r="B139" s="92">
        <f t="shared" ref="B139:M139" si="40">+B137*B136</f>
        <v>0</v>
      </c>
      <c r="C139" s="92">
        <f t="shared" si="40"/>
        <v>0</v>
      </c>
      <c r="D139" s="92">
        <f t="shared" si="40"/>
        <v>0</v>
      </c>
      <c r="E139" s="92">
        <f t="shared" si="40"/>
        <v>0</v>
      </c>
      <c r="F139" s="92">
        <f t="shared" si="40"/>
        <v>0</v>
      </c>
      <c r="G139" s="92">
        <f t="shared" si="40"/>
        <v>0</v>
      </c>
      <c r="H139" s="92">
        <f t="shared" si="40"/>
        <v>0</v>
      </c>
      <c r="I139" s="92">
        <f t="shared" si="40"/>
        <v>0</v>
      </c>
      <c r="J139" s="92">
        <f t="shared" si="40"/>
        <v>0</v>
      </c>
      <c r="K139" s="92">
        <f t="shared" si="40"/>
        <v>0</v>
      </c>
      <c r="L139" s="92">
        <f t="shared" si="40"/>
        <v>0</v>
      </c>
      <c r="M139" s="92">
        <f t="shared" si="40"/>
        <v>0</v>
      </c>
      <c r="N139" s="76"/>
      <c r="O139" s="81"/>
      <c r="P139" s="81"/>
      <c r="Q139" s="81"/>
      <c r="R139" s="81"/>
      <c r="S139" s="81"/>
    </row>
    <row r="141" spans="1:19" x14ac:dyDescent="0.25">
      <c r="A141" s="4" t="s">
        <v>136</v>
      </c>
      <c r="B141" s="8" t="s">
        <v>140</v>
      </c>
    </row>
    <row r="142" spans="1:19" x14ac:dyDescent="0.25">
      <c r="A142" s="9" t="s">
        <v>137</v>
      </c>
      <c r="B142" s="139">
        <v>11</v>
      </c>
      <c r="C142" s="138">
        <f>+B142/100</f>
        <v>0.11</v>
      </c>
    </row>
    <row r="143" spans="1:19" x14ac:dyDescent="0.25">
      <c r="A143" s="9" t="s">
        <v>138</v>
      </c>
      <c r="B143" s="139">
        <v>3</v>
      </c>
      <c r="C143" s="138">
        <f>+B143/100</f>
        <v>0.03</v>
      </c>
    </row>
    <row r="144" spans="1:19" x14ac:dyDescent="0.25">
      <c r="A144" s="9" t="s">
        <v>139</v>
      </c>
      <c r="B144" s="139">
        <v>3</v>
      </c>
      <c r="C144" s="138">
        <f>+B144/100</f>
        <v>0.03</v>
      </c>
    </row>
    <row r="145" spans="1:3" x14ac:dyDescent="0.25">
      <c r="C145" s="2">
        <f>1-C142-C143-C144</f>
        <v>0.83</v>
      </c>
    </row>
    <row r="146" spans="1:3" s="141" customFormat="1" x14ac:dyDescent="0.25">
      <c r="A146" s="140"/>
    </row>
  </sheetData>
  <sheetProtection algorithmName="SHA-512" hashValue="IAHEvnSMVVmjRfBBD0HBGQuXpmFdAS4oKok4WyiG3OEt921d9ecH7VxEAbM7Tu2l5G9kMrqxejLkrp+LOp48DA==" saltValue="5X7Z3BQq6nOFOgkHj9Y/pA==" spinCount="100000" sheet="1" objects="1" scenarios="1"/>
  <dataConsolidate>
    <dataRefs count="1">
      <dataRef ref="B66" sheet="Planilla de Liquidación"/>
    </dataRefs>
  </dataConsolidate>
  <mergeCells count="1">
    <mergeCell ref="K1:M1"/>
  </mergeCells>
  <phoneticPr fontId="6" type="noConversion"/>
  <dataValidations count="3">
    <dataValidation type="list" allowBlank="1" showInputMessage="1" showErrorMessage="1" sqref="B97">
      <formula1>"0,1"</formula1>
    </dataValidation>
    <dataValidation type="whole" allowBlank="1" showInputMessage="1" showErrorMessage="1" sqref="B142">
      <formula1>0</formula1>
      <formula2>22</formula2>
    </dataValidation>
    <dataValidation type="whole" allowBlank="1" showInputMessage="1" showErrorMessage="1" sqref="B143:B144">
      <formula1>0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zoomScaleNormal="100" workbookViewId="0">
      <selection activeCell="F139" sqref="F139"/>
    </sheetView>
  </sheetViews>
  <sheetFormatPr baseColWidth="10" defaultColWidth="13.42578125" defaultRowHeight="15" x14ac:dyDescent="0.25"/>
  <cols>
    <col min="1" max="2" width="13.42578125" style="1"/>
    <col min="3" max="3" width="14.5703125" style="1" bestFit="1" customWidth="1"/>
    <col min="4" max="16384" width="13.42578125" style="1"/>
  </cols>
  <sheetData>
    <row r="1" spans="1:15" x14ac:dyDescent="0.25">
      <c r="A1" s="2"/>
      <c r="B1" s="2"/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15.75" thickBot="1" x14ac:dyDescent="0.3">
      <c r="A2" s="166" t="s">
        <v>102</v>
      </c>
      <c r="B2" s="167"/>
      <c r="C2" s="168"/>
      <c r="D2" s="134">
        <f>'Planilla de Liquidación'!B89</f>
        <v>0</v>
      </c>
      <c r="E2" s="134">
        <f>'Planilla de Liquidación'!C89</f>
        <v>0</v>
      </c>
      <c r="F2" s="134">
        <f>'Planilla de Liquidación'!D89</f>
        <v>0</v>
      </c>
      <c r="G2" s="134">
        <f>'Planilla de Liquidación'!E89</f>
        <v>0</v>
      </c>
      <c r="H2" s="134">
        <f>'Planilla de Liquidación'!F89</f>
        <v>0</v>
      </c>
      <c r="I2" s="134">
        <f>'Planilla de Liquidación'!G89</f>
        <v>0</v>
      </c>
      <c r="J2" s="134">
        <f>'Planilla de Liquidación'!H89</f>
        <v>0</v>
      </c>
      <c r="K2" s="134">
        <f>'Planilla de Liquidación'!I89</f>
        <v>0</v>
      </c>
      <c r="L2" s="134">
        <f>'Planilla de Liquidación'!J89</f>
        <v>0</v>
      </c>
      <c r="M2" s="134">
        <f>'Planilla de Liquidación'!K89</f>
        <v>0</v>
      </c>
      <c r="N2" s="134">
        <f>'Planilla de Liquidación'!L89</f>
        <v>0</v>
      </c>
      <c r="O2" s="134">
        <f>'Planilla de Liquidación'!M89</f>
        <v>0</v>
      </c>
    </row>
    <row r="3" spans="1:15" ht="15.75" thickBot="1" x14ac:dyDescent="0.3">
      <c r="A3" s="178" t="s">
        <v>103</v>
      </c>
      <c r="B3" s="179"/>
      <c r="C3" s="180"/>
      <c r="D3" s="134">
        <f>D2-(('Planilla de Liquidación'!B6+'Planilla de Liquidación'!B29)-(('Planilla de Liquidación'!B6+'Planilla de Liquidación'!B29)*0.17))</f>
        <v>0</v>
      </c>
      <c r="E3" s="134">
        <f>E2-(('Planilla de Liquidación'!C6+'Planilla de Liquidación'!C29)-(('Planilla de Liquidación'!C6+'Planilla de Liquidación'!C29)*0.17))</f>
        <v>0</v>
      </c>
      <c r="F3" s="134">
        <f>F2-(('Planilla de Liquidación'!D6+'Planilla de Liquidación'!D29)-(('Planilla de Liquidación'!D6+'Planilla de Liquidación'!D29)*0.17))</f>
        <v>0</v>
      </c>
      <c r="G3" s="134">
        <f>G2-(('Planilla de Liquidación'!E6+'Planilla de Liquidación'!E29)-(('Planilla de Liquidación'!E6+'Planilla de Liquidación'!E29)*0.17))</f>
        <v>0</v>
      </c>
      <c r="H3" s="134">
        <f>H2-(('Planilla de Liquidación'!F6+'Planilla de Liquidación'!F29)-(('Planilla de Liquidación'!F6+'Planilla de Liquidación'!F29)*0.17))</f>
        <v>0</v>
      </c>
      <c r="I3" s="134">
        <f>I2-(('Planilla de Liquidación'!G6+'Planilla de Liquidación'!G29)-(('Planilla de Liquidación'!G6+'Planilla de Liquidación'!G29)*0.17))</f>
        <v>0</v>
      </c>
      <c r="J3" s="134">
        <f>J2-(('Planilla de Liquidación'!H6+'Planilla de Liquidación'!H29)-(('Planilla de Liquidación'!H6+'Planilla de Liquidación'!H29)*0.17))</f>
        <v>0</v>
      </c>
      <c r="K3" s="134">
        <f>K2-(('Planilla de Liquidación'!I6+'Planilla de Liquidación'!I29)-(('Planilla de Liquidación'!I6+'Planilla de Liquidación'!I29)*0.17))</f>
        <v>0</v>
      </c>
      <c r="L3" s="134">
        <f>L2-(('Planilla de Liquidación'!J6+'Planilla de Liquidación'!J29)-(('Planilla de Liquidación'!J6+'Planilla de Liquidación'!J29)*0.17))</f>
        <v>0</v>
      </c>
      <c r="M3" s="134">
        <f>M2-(('Planilla de Liquidación'!K6+'Planilla de Liquidación'!K29)-(('Planilla de Liquidación'!K6+'Planilla de Liquidación'!K29)*0.17))</f>
        <v>0</v>
      </c>
      <c r="N3" s="134">
        <f>N2-(('Planilla de Liquidación'!L6+'Planilla de Liquidación'!L29)-(('Planilla de Liquidación'!L6+'Planilla de Liquidación'!L29)*0.17))</f>
        <v>0</v>
      </c>
      <c r="O3" s="134">
        <f>O2-(('Planilla de Liquidación'!M6+'Planilla de Liquidación'!M29)-(('Planilla de Liquidación'!M6+'Planilla de Liquidación'!M29)*0.17))</f>
        <v>0</v>
      </c>
    </row>
    <row r="4" spans="1:15" ht="15.75" thickBot="1" x14ac:dyDescent="0.3">
      <c r="A4" s="169" t="s">
        <v>104</v>
      </c>
      <c r="B4" s="170"/>
      <c r="C4" s="171"/>
      <c r="D4" s="135">
        <f>IFERROR(LOOKUP(D3,$B$9:$C$17,$D$9:$D$17)+((LOOKUP(D3,$B$9:$C$17,$E$9:$E$17)*(D2-LOOKUP(D3,$B$9:$C$17,$F$9:$F$17)))),0)</f>
        <v>0</v>
      </c>
      <c r="E4" s="135">
        <f>IFERROR(LOOKUP(E3,$B$18:$C$26,$D$18:$D$26)+((LOOKUP(E3,$B$18:$C$26,$E$18:$E$26)*(E2-LOOKUP(E3,$B$18:$C$26,$F$18:$F$26)))),0)</f>
        <v>0</v>
      </c>
      <c r="F4" s="135">
        <f>IFERROR(LOOKUP(F3,$B$27:$C$35,$D$27:$D$35)+((LOOKUP(F3,$B$27:$C$35,$E$27:$E$35)*(F2-LOOKUP(F3,$B$27:$C$35,$F$27:$F$35)))),0)</f>
        <v>0</v>
      </c>
      <c r="G4" s="135">
        <f>IFERROR(LOOKUP(G3,$B$36:$C$44,$D$36:$D$44)+((LOOKUP(G3,$B$36:$C$44,$E$36:$E$44)*(G2-LOOKUP(G3,$B$36:$C$44,$F$36:$F$44)))),0)</f>
        <v>0</v>
      </c>
      <c r="H4" s="135">
        <f>IFERROR(LOOKUP(H3,$B$45:$C$53,$D$45:$D$53)+((LOOKUP(H3,$B$45:$C$53,$E$45:$E$53)*(H2-LOOKUP(H3,$B$45:$C$53,$F$45:$F$53)))),0)</f>
        <v>0</v>
      </c>
      <c r="I4" s="135">
        <f>IFERROR(LOOKUP(I3,$B$54:$C$62,$D$54:$D$62)+((LOOKUP(I3,$B$54:$C$62,$E$54:$E$62)*(I2-LOOKUP(I3,$B$54:$C$62,$F$54:$F$62)))),0)</f>
        <v>0</v>
      </c>
      <c r="J4" s="135">
        <f>IFERROR(LOOKUP(J3,$B$63:$C$71,$D$63:$D$71)+((LOOKUP(J3,$B$63:$C$71,$E$63:$E$71)*(J2-LOOKUP(J3,$B$63:$C$71,$F$63:$F$71)))),0)</f>
        <v>0</v>
      </c>
      <c r="K4" s="135">
        <f>IFERROR(LOOKUP(K3,$B$72:$C$80,$D$72:$D$80)+((LOOKUP(K3,$B$72:$C$80,$E$72:$E$80)*(K2-LOOKUP(K3,$B$72:$C$80,$F$72:$F$80)))),0)</f>
        <v>0</v>
      </c>
      <c r="L4" s="135">
        <f>IFERROR(LOOKUP(L3,$B$81:$C$89,$D$81:$D$89)+((LOOKUP(L3,$B$81:$C$89,$E$81:$E$89)*(L2-LOOKUP(L3,$B$81:$C$89,$F$81:$F$89)))),0)</f>
        <v>0</v>
      </c>
      <c r="M4" s="135">
        <f>IFERROR(LOOKUP(M3,$B$90:$C$98,$D$90:$D$98)+((LOOKUP(M3,$B$90:$C$98,$E$90:$E$98)*(M2-LOOKUP(M3,$B$90:$C$98,$F$90:$F$98)))),0)</f>
        <v>0</v>
      </c>
      <c r="N4" s="135">
        <f>IFERROR(LOOKUP(N3,$B$99:$C$107,$D$99:$D$107)+((LOOKUP(N3,$B$99:$C$107,$E$99:$E$107)*(N2-LOOKUP(N3,$B$99:$C$107,$F$99:$F$107)))),0)</f>
        <v>0</v>
      </c>
      <c r="O4" s="135">
        <f>IFERROR(LOOKUP(O3,$B$108:$C$116,$D$108:$D$116)+((LOOKUP(O3,$B$108:$C$116,$E$108:$E$116)*(O2-LOOKUP(O3,$B$108:$C$116,$F$108:$F$116)))),0)</f>
        <v>0</v>
      </c>
    </row>
    <row r="6" spans="1:15" ht="16.5" customHeight="1" x14ac:dyDescent="0.25">
      <c r="A6" s="175" t="s">
        <v>105</v>
      </c>
      <c r="B6" s="176"/>
      <c r="C6" s="177"/>
      <c r="D6" s="181" t="s">
        <v>106</v>
      </c>
      <c r="E6" s="176"/>
      <c r="F6" s="182"/>
    </row>
    <row r="7" spans="1:15" ht="19.5" customHeight="1" thickBot="1" x14ac:dyDescent="0.3">
      <c r="A7" s="183" t="s">
        <v>107</v>
      </c>
      <c r="B7" s="185" t="s">
        <v>108</v>
      </c>
      <c r="C7" s="186"/>
      <c r="D7" s="187" t="s">
        <v>109</v>
      </c>
      <c r="E7" s="188"/>
      <c r="F7" s="189"/>
    </row>
    <row r="8" spans="1:15" ht="45.75" thickBot="1" x14ac:dyDescent="0.3">
      <c r="A8" s="184"/>
      <c r="B8" s="152" t="s">
        <v>110</v>
      </c>
      <c r="C8" s="152" t="s">
        <v>111</v>
      </c>
      <c r="D8" s="152" t="s">
        <v>112</v>
      </c>
      <c r="E8" s="152" t="s">
        <v>113</v>
      </c>
      <c r="F8" s="153" t="s">
        <v>114</v>
      </c>
      <c r="N8" s="1">
        <v>7048</v>
      </c>
    </row>
    <row r="9" spans="1:15" ht="15.75" thickBot="1" x14ac:dyDescent="0.3">
      <c r="A9" s="172" t="s">
        <v>2</v>
      </c>
      <c r="B9" s="154">
        <v>0</v>
      </c>
      <c r="C9" s="155">
        <v>8100.17</v>
      </c>
      <c r="D9" s="154">
        <v>0</v>
      </c>
      <c r="E9" s="156">
        <v>0.05</v>
      </c>
      <c r="F9" s="157">
        <v>0</v>
      </c>
    </row>
    <row r="10" spans="1:15" ht="15.75" thickBot="1" x14ac:dyDescent="0.3">
      <c r="A10" s="173"/>
      <c r="B10" s="18">
        <v>8100.17</v>
      </c>
      <c r="C10" s="18">
        <v>16200.33</v>
      </c>
      <c r="D10" s="18">
        <v>405.01</v>
      </c>
      <c r="E10" s="19">
        <v>0.09</v>
      </c>
      <c r="F10" s="158">
        <v>8100.17</v>
      </c>
      <c r="G10" s="56"/>
      <c r="H10" s="56"/>
    </row>
    <row r="11" spans="1:15" ht="15.75" thickBot="1" x14ac:dyDescent="0.3">
      <c r="A11" s="173"/>
      <c r="B11" s="18">
        <v>16200.33</v>
      </c>
      <c r="C11" s="18">
        <v>24300.5</v>
      </c>
      <c r="D11" s="18">
        <v>1134.02</v>
      </c>
      <c r="E11" s="19">
        <v>0.12</v>
      </c>
      <c r="F11" s="158">
        <v>16200.33</v>
      </c>
      <c r="G11" s="56"/>
      <c r="H11" s="56"/>
    </row>
    <row r="12" spans="1:15" ht="15.75" thickBot="1" x14ac:dyDescent="0.3">
      <c r="A12" s="173"/>
      <c r="B12" s="18">
        <v>24300.5</v>
      </c>
      <c r="C12" s="18">
        <v>32400.67</v>
      </c>
      <c r="D12" s="18">
        <v>2106.04</v>
      </c>
      <c r="E12" s="19">
        <v>0.15</v>
      </c>
      <c r="F12" s="158">
        <v>24300.5</v>
      </c>
    </row>
    <row r="13" spans="1:15" ht="15.75" thickBot="1" x14ac:dyDescent="0.3">
      <c r="A13" s="173"/>
      <c r="B13" s="18">
        <v>32400.67</v>
      </c>
      <c r="C13" s="18">
        <v>48601</v>
      </c>
      <c r="D13" s="18">
        <v>3321.07</v>
      </c>
      <c r="E13" s="19">
        <v>0.19</v>
      </c>
      <c r="F13" s="158">
        <v>32400.67</v>
      </c>
    </row>
    <row r="14" spans="1:15" ht="15.75" thickBot="1" x14ac:dyDescent="0.3">
      <c r="A14" s="173"/>
      <c r="B14" s="18">
        <v>48601</v>
      </c>
      <c r="C14" s="18">
        <v>64801.33</v>
      </c>
      <c r="D14" s="18">
        <v>6399.13</v>
      </c>
      <c r="E14" s="19">
        <v>0.23</v>
      </c>
      <c r="F14" s="158">
        <v>48601</v>
      </c>
    </row>
    <row r="15" spans="1:15" ht="15.75" thickBot="1" x14ac:dyDescent="0.3">
      <c r="A15" s="173"/>
      <c r="B15" s="18">
        <v>64801.33</v>
      </c>
      <c r="C15" s="18">
        <v>97202</v>
      </c>
      <c r="D15" s="18">
        <v>10125.209999999999</v>
      </c>
      <c r="E15" s="19">
        <v>0.27</v>
      </c>
      <c r="F15" s="158">
        <v>64801.33</v>
      </c>
    </row>
    <row r="16" spans="1:15" ht="15.75" thickBot="1" x14ac:dyDescent="0.3">
      <c r="A16" s="173"/>
      <c r="B16" s="18">
        <v>97202</v>
      </c>
      <c r="C16" s="18">
        <v>129602.67</v>
      </c>
      <c r="D16" s="18">
        <v>18873.39</v>
      </c>
      <c r="E16" s="19">
        <v>0.31</v>
      </c>
      <c r="F16" s="158">
        <v>97202</v>
      </c>
    </row>
    <row r="17" spans="1:6" ht="15.75" thickBot="1" x14ac:dyDescent="0.3">
      <c r="A17" s="174"/>
      <c r="B17" s="159">
        <v>129602.67</v>
      </c>
      <c r="C17" s="160" t="s">
        <v>115</v>
      </c>
      <c r="D17" s="159">
        <v>28917.599999999999</v>
      </c>
      <c r="E17" s="161">
        <v>0.35</v>
      </c>
      <c r="F17" s="162">
        <v>129602.67</v>
      </c>
    </row>
    <row r="18" spans="1:6" ht="15.75" thickBot="1" x14ac:dyDescent="0.3">
      <c r="A18" s="172" t="s">
        <v>3</v>
      </c>
      <c r="B18" s="154">
        <v>0</v>
      </c>
      <c r="C18" s="155">
        <v>16200.33</v>
      </c>
      <c r="D18" s="154">
        <v>0</v>
      </c>
      <c r="E18" s="156">
        <v>0.05</v>
      </c>
      <c r="F18" s="157">
        <v>0</v>
      </c>
    </row>
    <row r="19" spans="1:6" ht="15.75" thickBot="1" x14ac:dyDescent="0.3">
      <c r="A19" s="173"/>
      <c r="B19" s="18">
        <v>16200.33</v>
      </c>
      <c r="C19" s="18">
        <v>32400.67</v>
      </c>
      <c r="D19" s="18">
        <v>810.02</v>
      </c>
      <c r="E19" s="19">
        <v>0.09</v>
      </c>
      <c r="F19" s="158">
        <v>16200.33</v>
      </c>
    </row>
    <row r="20" spans="1:6" ht="15.75" thickBot="1" x14ac:dyDescent="0.3">
      <c r="A20" s="173"/>
      <c r="B20" s="18">
        <v>32400.67</v>
      </c>
      <c r="C20" s="18">
        <v>48601</v>
      </c>
      <c r="D20" s="18">
        <v>2268.0500000000002</v>
      </c>
      <c r="E20" s="19">
        <v>0.12</v>
      </c>
      <c r="F20" s="158">
        <v>32400.67</v>
      </c>
    </row>
    <row r="21" spans="1:6" ht="15.75" thickBot="1" x14ac:dyDescent="0.3">
      <c r="A21" s="173"/>
      <c r="B21" s="18">
        <v>48601</v>
      </c>
      <c r="C21" s="18">
        <v>64801.34</v>
      </c>
      <c r="D21" s="18">
        <v>4212.09</v>
      </c>
      <c r="E21" s="19">
        <v>0.15</v>
      </c>
      <c r="F21" s="158">
        <v>48601</v>
      </c>
    </row>
    <row r="22" spans="1:6" ht="15.75" thickBot="1" x14ac:dyDescent="0.3">
      <c r="A22" s="173"/>
      <c r="B22" s="18">
        <v>64801.34</v>
      </c>
      <c r="C22" s="18">
        <v>97202</v>
      </c>
      <c r="D22" s="18">
        <v>6642.14</v>
      </c>
      <c r="E22" s="19">
        <v>0.19</v>
      </c>
      <c r="F22" s="158">
        <v>64801.34</v>
      </c>
    </row>
    <row r="23" spans="1:6" ht="15.75" thickBot="1" x14ac:dyDescent="0.3">
      <c r="A23" s="173"/>
      <c r="B23" s="18">
        <v>97202</v>
      </c>
      <c r="C23" s="18">
        <v>129602.67</v>
      </c>
      <c r="D23" s="18">
        <v>12798.26</v>
      </c>
      <c r="E23" s="19">
        <v>0.23</v>
      </c>
      <c r="F23" s="158">
        <v>97202</v>
      </c>
    </row>
    <row r="24" spans="1:6" ht="15.75" thickBot="1" x14ac:dyDescent="0.3">
      <c r="A24" s="173"/>
      <c r="B24" s="18">
        <v>129602.67</v>
      </c>
      <c r="C24" s="18">
        <v>194404</v>
      </c>
      <c r="D24" s="18">
        <v>20250.419999999998</v>
      </c>
      <c r="E24" s="19">
        <v>0.27</v>
      </c>
      <c r="F24" s="158">
        <v>129602.67</v>
      </c>
    </row>
    <row r="25" spans="1:6" ht="15.75" thickBot="1" x14ac:dyDescent="0.3">
      <c r="A25" s="173"/>
      <c r="B25" s="18">
        <v>194404</v>
      </c>
      <c r="C25" s="18">
        <v>259205.34</v>
      </c>
      <c r="D25" s="18">
        <v>37746.78</v>
      </c>
      <c r="E25" s="19">
        <v>0.31</v>
      </c>
      <c r="F25" s="158">
        <v>194404</v>
      </c>
    </row>
    <row r="26" spans="1:6" ht="15.75" thickBot="1" x14ac:dyDescent="0.3">
      <c r="A26" s="174"/>
      <c r="B26" s="159">
        <v>259205.34</v>
      </c>
      <c r="C26" s="160" t="s">
        <v>115</v>
      </c>
      <c r="D26" s="159">
        <v>57835.19</v>
      </c>
      <c r="E26" s="161">
        <v>0.35</v>
      </c>
      <c r="F26" s="162">
        <v>259205.34</v>
      </c>
    </row>
    <row r="27" spans="1:6" ht="15.75" thickBot="1" x14ac:dyDescent="0.3">
      <c r="A27" s="172" t="s">
        <v>4</v>
      </c>
      <c r="B27" s="154">
        <v>0</v>
      </c>
      <c r="C27" s="155">
        <v>24300.5</v>
      </c>
      <c r="D27" s="154">
        <v>0</v>
      </c>
      <c r="E27" s="156">
        <v>0.05</v>
      </c>
      <c r="F27" s="157">
        <v>0</v>
      </c>
    </row>
    <row r="28" spans="1:6" ht="15.75" thickBot="1" x14ac:dyDescent="0.3">
      <c r="A28" s="173"/>
      <c r="B28" s="18">
        <v>24300.5</v>
      </c>
      <c r="C28" s="18">
        <v>48601</v>
      </c>
      <c r="D28" s="18">
        <v>1215.02</v>
      </c>
      <c r="E28" s="19">
        <v>0.09</v>
      </c>
      <c r="F28" s="158">
        <v>24300.5</v>
      </c>
    </row>
    <row r="29" spans="1:6" ht="15.75" thickBot="1" x14ac:dyDescent="0.3">
      <c r="A29" s="173"/>
      <c r="B29" s="18">
        <v>48601</v>
      </c>
      <c r="C29" s="18">
        <v>72901.5</v>
      </c>
      <c r="D29" s="18">
        <v>3402.07</v>
      </c>
      <c r="E29" s="19">
        <v>0.12</v>
      </c>
      <c r="F29" s="158">
        <v>48601</v>
      </c>
    </row>
    <row r="30" spans="1:6" ht="15.75" thickBot="1" x14ac:dyDescent="0.3">
      <c r="A30" s="173"/>
      <c r="B30" s="18">
        <v>72901.5</v>
      </c>
      <c r="C30" s="18">
        <v>97202.01</v>
      </c>
      <c r="D30" s="18">
        <v>6318.13</v>
      </c>
      <c r="E30" s="19">
        <v>0.15</v>
      </c>
      <c r="F30" s="158">
        <v>72901.5</v>
      </c>
    </row>
    <row r="31" spans="1:6" ht="15.75" thickBot="1" x14ac:dyDescent="0.3">
      <c r="A31" s="173"/>
      <c r="B31" s="18">
        <v>97202.01</v>
      </c>
      <c r="C31" s="18">
        <v>145803.01</v>
      </c>
      <c r="D31" s="18">
        <v>9963.2099999999991</v>
      </c>
      <c r="E31" s="19">
        <v>0.19</v>
      </c>
      <c r="F31" s="158">
        <v>97202.01</v>
      </c>
    </row>
    <row r="32" spans="1:6" ht="15.75" thickBot="1" x14ac:dyDescent="0.3">
      <c r="A32" s="173"/>
      <c r="B32" s="18">
        <v>145803.01</v>
      </c>
      <c r="C32" s="18">
        <v>194404</v>
      </c>
      <c r="D32" s="18">
        <v>19197.400000000001</v>
      </c>
      <c r="E32" s="19">
        <v>0.23</v>
      </c>
      <c r="F32" s="158">
        <v>145803.01</v>
      </c>
    </row>
    <row r="33" spans="1:6" ht="15.75" thickBot="1" x14ac:dyDescent="0.3">
      <c r="A33" s="173"/>
      <c r="B33" s="18">
        <v>194404</v>
      </c>
      <c r="C33" s="18">
        <v>291606.01</v>
      </c>
      <c r="D33" s="18">
        <v>30375.63</v>
      </c>
      <c r="E33" s="19">
        <v>0.27</v>
      </c>
      <c r="F33" s="158">
        <v>194404</v>
      </c>
    </row>
    <row r="34" spans="1:6" ht="15.75" thickBot="1" x14ac:dyDescent="0.3">
      <c r="A34" s="173"/>
      <c r="B34" s="18">
        <v>291606.01</v>
      </c>
      <c r="C34" s="18">
        <v>388808.02</v>
      </c>
      <c r="D34" s="18">
        <v>56620.17</v>
      </c>
      <c r="E34" s="19">
        <v>0.31</v>
      </c>
      <c r="F34" s="158">
        <v>291606.01</v>
      </c>
    </row>
    <row r="35" spans="1:6" ht="15.75" thickBot="1" x14ac:dyDescent="0.3">
      <c r="A35" s="174"/>
      <c r="B35" s="159">
        <v>388808.02</v>
      </c>
      <c r="C35" s="160" t="s">
        <v>115</v>
      </c>
      <c r="D35" s="159">
        <v>86752.79</v>
      </c>
      <c r="E35" s="161">
        <v>0.35</v>
      </c>
      <c r="F35" s="162">
        <v>388808.02</v>
      </c>
    </row>
    <row r="36" spans="1:6" ht="15.75" thickBot="1" x14ac:dyDescent="0.3">
      <c r="A36" s="172" t="s">
        <v>5</v>
      </c>
      <c r="B36" s="154">
        <v>0</v>
      </c>
      <c r="C36" s="155">
        <v>32400.67</v>
      </c>
      <c r="D36" s="154">
        <v>0</v>
      </c>
      <c r="E36" s="156">
        <v>0.05</v>
      </c>
      <c r="F36" s="157">
        <v>0</v>
      </c>
    </row>
    <row r="37" spans="1:6" ht="15.75" customHeight="1" thickBot="1" x14ac:dyDescent="0.3">
      <c r="A37" s="173"/>
      <c r="B37" s="18">
        <v>32400.67</v>
      </c>
      <c r="C37" s="18">
        <v>64801.34</v>
      </c>
      <c r="D37" s="18">
        <v>1620.03</v>
      </c>
      <c r="E37" s="19">
        <v>0.09</v>
      </c>
      <c r="F37" s="158">
        <v>32400.67</v>
      </c>
    </row>
    <row r="38" spans="1:6" ht="15.75" customHeight="1" thickBot="1" x14ac:dyDescent="0.3">
      <c r="A38" s="173"/>
      <c r="B38" s="18">
        <v>64801.34</v>
      </c>
      <c r="C38" s="18">
        <v>97202</v>
      </c>
      <c r="D38" s="18">
        <v>4536.09</v>
      </c>
      <c r="E38" s="19">
        <v>0.12</v>
      </c>
      <c r="F38" s="158">
        <v>64801.34</v>
      </c>
    </row>
    <row r="39" spans="1:6" ht="15.75" customHeight="1" thickBot="1" x14ac:dyDescent="0.3">
      <c r="A39" s="173"/>
      <c r="B39" s="18">
        <v>97202</v>
      </c>
      <c r="C39" s="18">
        <v>129602.67</v>
      </c>
      <c r="D39" s="18">
        <v>8424.17</v>
      </c>
      <c r="E39" s="19">
        <v>0.15</v>
      </c>
      <c r="F39" s="158">
        <v>97202</v>
      </c>
    </row>
    <row r="40" spans="1:6" ht="15.75" customHeight="1" thickBot="1" x14ac:dyDescent="0.3">
      <c r="A40" s="173"/>
      <c r="B40" s="18">
        <v>129602.67</v>
      </c>
      <c r="C40" s="18">
        <v>194404.01</v>
      </c>
      <c r="D40" s="18">
        <v>13284.27</v>
      </c>
      <c r="E40" s="19">
        <v>0.19</v>
      </c>
      <c r="F40" s="158">
        <v>129602.67</v>
      </c>
    </row>
    <row r="41" spans="1:6" ht="15.75" customHeight="1" thickBot="1" x14ac:dyDescent="0.3">
      <c r="A41" s="173"/>
      <c r="B41" s="18">
        <v>194404.01</v>
      </c>
      <c r="C41" s="18">
        <v>259205.34</v>
      </c>
      <c r="D41" s="18">
        <v>25596.53</v>
      </c>
      <c r="E41" s="19">
        <v>0.23</v>
      </c>
      <c r="F41" s="158">
        <v>194404.01</v>
      </c>
    </row>
    <row r="42" spans="1:6" ht="15.75" customHeight="1" thickBot="1" x14ac:dyDescent="0.3">
      <c r="A42" s="173"/>
      <c r="B42" s="18">
        <v>259205.34</v>
      </c>
      <c r="C42" s="18">
        <v>388808.01</v>
      </c>
      <c r="D42" s="18">
        <v>40500.83</v>
      </c>
      <c r="E42" s="19">
        <v>0.27</v>
      </c>
      <c r="F42" s="158">
        <v>259205.34</v>
      </c>
    </row>
    <row r="43" spans="1:6" ht="15.75" customHeight="1" thickBot="1" x14ac:dyDescent="0.3">
      <c r="A43" s="173"/>
      <c r="B43" s="18">
        <v>388808.01</v>
      </c>
      <c r="C43" s="18">
        <v>518410.69</v>
      </c>
      <c r="D43" s="18">
        <v>75493.55</v>
      </c>
      <c r="E43" s="19">
        <v>0.31</v>
      </c>
      <c r="F43" s="158">
        <v>388808.01</v>
      </c>
    </row>
    <row r="44" spans="1:6" ht="15.75" customHeight="1" thickBot="1" x14ac:dyDescent="0.3">
      <c r="A44" s="174"/>
      <c r="B44" s="159">
        <v>518410.69</v>
      </c>
      <c r="C44" s="160" t="s">
        <v>115</v>
      </c>
      <c r="D44" s="159">
        <v>115670.39</v>
      </c>
      <c r="E44" s="161">
        <v>0.35</v>
      </c>
      <c r="F44" s="162">
        <v>518410.69</v>
      </c>
    </row>
    <row r="45" spans="1:6" ht="15.75" thickBot="1" x14ac:dyDescent="0.3">
      <c r="A45" s="172" t="s">
        <v>6</v>
      </c>
      <c r="B45" s="154">
        <v>0</v>
      </c>
      <c r="C45" s="155">
        <v>40500.83</v>
      </c>
      <c r="D45" s="154">
        <v>0</v>
      </c>
      <c r="E45" s="156">
        <v>0.05</v>
      </c>
      <c r="F45" s="157">
        <v>0</v>
      </c>
    </row>
    <row r="46" spans="1:6" ht="15.75" thickBot="1" x14ac:dyDescent="0.3">
      <c r="A46" s="173"/>
      <c r="B46" s="18">
        <v>40500.83</v>
      </c>
      <c r="C46" s="18">
        <v>81001.67</v>
      </c>
      <c r="D46" s="18">
        <v>2025.04</v>
      </c>
      <c r="E46" s="19">
        <v>0.09</v>
      </c>
      <c r="F46" s="158">
        <v>40500.83</v>
      </c>
    </row>
    <row r="47" spans="1:6" ht="15.75" thickBot="1" x14ac:dyDescent="0.3">
      <c r="A47" s="173"/>
      <c r="B47" s="18">
        <v>81001.67</v>
      </c>
      <c r="C47" s="18">
        <v>121502.5</v>
      </c>
      <c r="D47" s="18">
        <v>5670.12</v>
      </c>
      <c r="E47" s="19">
        <v>0.12</v>
      </c>
      <c r="F47" s="158">
        <v>81001.67</v>
      </c>
    </row>
    <row r="48" spans="1:6" ht="15.75" thickBot="1" x14ac:dyDescent="0.3">
      <c r="A48" s="173"/>
      <c r="B48" s="18">
        <v>121502.5</v>
      </c>
      <c r="C48" s="18">
        <v>162003.34</v>
      </c>
      <c r="D48" s="18">
        <v>10530.22</v>
      </c>
      <c r="E48" s="19">
        <v>0.15</v>
      </c>
      <c r="F48" s="158">
        <v>121502.5</v>
      </c>
    </row>
    <row r="49" spans="1:6" ht="15.75" thickBot="1" x14ac:dyDescent="0.3">
      <c r="A49" s="173"/>
      <c r="B49" s="18">
        <v>162003.34</v>
      </c>
      <c r="C49" s="18">
        <v>243005.01</v>
      </c>
      <c r="D49" s="18">
        <v>16605.34</v>
      </c>
      <c r="E49" s="19">
        <v>0.19</v>
      </c>
      <c r="F49" s="158">
        <v>162003.34</v>
      </c>
    </row>
    <row r="50" spans="1:6" ht="15.75" thickBot="1" x14ac:dyDescent="0.3">
      <c r="A50" s="173"/>
      <c r="B50" s="18">
        <v>243005.01</v>
      </c>
      <c r="C50" s="18">
        <v>324006.67</v>
      </c>
      <c r="D50" s="18">
        <v>31995.66</v>
      </c>
      <c r="E50" s="19">
        <v>0.23</v>
      </c>
      <c r="F50" s="158">
        <v>243005.01</v>
      </c>
    </row>
    <row r="51" spans="1:6" ht="15.75" thickBot="1" x14ac:dyDescent="0.3">
      <c r="A51" s="173"/>
      <c r="B51" s="18">
        <v>324006.67</v>
      </c>
      <c r="C51" s="18">
        <v>486010.01</v>
      </c>
      <c r="D51" s="18">
        <v>50626.04</v>
      </c>
      <c r="E51" s="19">
        <v>0.27</v>
      </c>
      <c r="F51" s="158">
        <v>324006.67</v>
      </c>
    </row>
    <row r="52" spans="1:6" ht="15.75" thickBot="1" x14ac:dyDescent="0.3">
      <c r="A52" s="173"/>
      <c r="B52" s="18">
        <v>486010.01</v>
      </c>
      <c r="C52" s="18">
        <v>648013.36</v>
      </c>
      <c r="D52" s="18">
        <v>94366.94</v>
      </c>
      <c r="E52" s="19">
        <v>0.31</v>
      </c>
      <c r="F52" s="158">
        <v>486010.01</v>
      </c>
    </row>
    <row r="53" spans="1:6" ht="15.75" thickBot="1" x14ac:dyDescent="0.3">
      <c r="A53" s="174"/>
      <c r="B53" s="159">
        <v>648013.36</v>
      </c>
      <c r="C53" s="160" t="s">
        <v>115</v>
      </c>
      <c r="D53" s="159">
        <v>144587.98000000001</v>
      </c>
      <c r="E53" s="161">
        <v>0.35</v>
      </c>
      <c r="F53" s="162">
        <v>648013.36</v>
      </c>
    </row>
    <row r="54" spans="1:6" ht="15.75" thickBot="1" x14ac:dyDescent="0.3">
      <c r="A54" s="172" t="s">
        <v>7</v>
      </c>
      <c r="B54" s="154">
        <v>0</v>
      </c>
      <c r="C54" s="155">
        <v>48601</v>
      </c>
      <c r="D54" s="154">
        <v>0</v>
      </c>
      <c r="E54" s="156">
        <v>0.05</v>
      </c>
      <c r="F54" s="157">
        <v>0</v>
      </c>
    </row>
    <row r="55" spans="1:6" ht="15.75" thickBot="1" x14ac:dyDescent="0.3">
      <c r="A55" s="173"/>
      <c r="B55" s="18">
        <v>48601</v>
      </c>
      <c r="C55" s="18">
        <v>97202.01</v>
      </c>
      <c r="D55" s="18">
        <v>2430.0500000000002</v>
      </c>
      <c r="E55" s="19">
        <v>0.09</v>
      </c>
      <c r="F55" s="158">
        <v>48601</v>
      </c>
    </row>
    <row r="56" spans="1:6" ht="15.75" thickBot="1" x14ac:dyDescent="0.3">
      <c r="A56" s="173"/>
      <c r="B56" s="18">
        <v>97202.01</v>
      </c>
      <c r="C56" s="18">
        <v>145803.01</v>
      </c>
      <c r="D56" s="18">
        <v>6804.14</v>
      </c>
      <c r="E56" s="19">
        <v>0.12</v>
      </c>
      <c r="F56" s="158">
        <v>97202.01</v>
      </c>
    </row>
    <row r="57" spans="1:6" ht="15.75" thickBot="1" x14ac:dyDescent="0.3">
      <c r="A57" s="173"/>
      <c r="B57" s="18">
        <v>145803.01</v>
      </c>
      <c r="C57" s="18">
        <v>194404.01</v>
      </c>
      <c r="D57" s="18">
        <v>12636.26</v>
      </c>
      <c r="E57" s="19">
        <v>0.15</v>
      </c>
      <c r="F57" s="158">
        <v>145803.01</v>
      </c>
    </row>
    <row r="58" spans="1:6" ht="15.75" thickBot="1" x14ac:dyDescent="0.3">
      <c r="A58" s="173"/>
      <c r="B58" s="18">
        <v>194404.01</v>
      </c>
      <c r="C58" s="18">
        <v>291606.01</v>
      </c>
      <c r="D58" s="18">
        <v>19926.41</v>
      </c>
      <c r="E58" s="19">
        <v>0.19</v>
      </c>
      <c r="F58" s="158">
        <v>194404.01</v>
      </c>
    </row>
    <row r="59" spans="1:6" ht="15.75" thickBot="1" x14ac:dyDescent="0.3">
      <c r="A59" s="173"/>
      <c r="B59" s="18">
        <v>291606.01</v>
      </c>
      <c r="C59" s="18">
        <v>388808.01</v>
      </c>
      <c r="D59" s="18">
        <v>38394.79</v>
      </c>
      <c r="E59" s="19">
        <v>0.23</v>
      </c>
      <c r="F59" s="158">
        <v>291606.01</v>
      </c>
    </row>
    <row r="60" spans="1:6" ht="15.75" thickBot="1" x14ac:dyDescent="0.3">
      <c r="A60" s="173"/>
      <c r="B60" s="18">
        <v>388808.01</v>
      </c>
      <c r="C60" s="18">
        <v>583212.01</v>
      </c>
      <c r="D60" s="18">
        <v>60751.25</v>
      </c>
      <c r="E60" s="19">
        <v>0.27</v>
      </c>
      <c r="F60" s="158">
        <v>388808.01</v>
      </c>
    </row>
    <row r="61" spans="1:6" ht="15.75" thickBot="1" x14ac:dyDescent="0.3">
      <c r="A61" s="173"/>
      <c r="B61" s="18">
        <v>583212.01</v>
      </c>
      <c r="C61" s="18">
        <v>777616.03</v>
      </c>
      <c r="D61" s="18">
        <v>113240.33</v>
      </c>
      <c r="E61" s="19">
        <v>0.31</v>
      </c>
      <c r="F61" s="158">
        <v>583212.01</v>
      </c>
    </row>
    <row r="62" spans="1:6" ht="15.75" thickBot="1" x14ac:dyDescent="0.3">
      <c r="A62" s="174"/>
      <c r="B62" s="159">
        <v>777616.03</v>
      </c>
      <c r="C62" s="160" t="s">
        <v>115</v>
      </c>
      <c r="D62" s="159">
        <v>173505.58</v>
      </c>
      <c r="E62" s="161">
        <v>0.35</v>
      </c>
      <c r="F62" s="162">
        <v>777616.03</v>
      </c>
    </row>
    <row r="63" spans="1:6" ht="15.75" thickBot="1" x14ac:dyDescent="0.3">
      <c r="A63" s="172" t="s">
        <v>8</v>
      </c>
      <c r="B63" s="154">
        <v>0</v>
      </c>
      <c r="C63" s="155">
        <v>56701.17</v>
      </c>
      <c r="D63" s="154">
        <v>0</v>
      </c>
      <c r="E63" s="156">
        <v>0.05</v>
      </c>
      <c r="F63" s="157">
        <v>0</v>
      </c>
    </row>
    <row r="64" spans="1:6" ht="15.75" thickBot="1" x14ac:dyDescent="0.3">
      <c r="A64" s="173"/>
      <c r="B64" s="18">
        <v>56701.17</v>
      </c>
      <c r="C64" s="18">
        <v>113402.34</v>
      </c>
      <c r="D64" s="18">
        <v>2835.06</v>
      </c>
      <c r="E64" s="19">
        <v>0.09</v>
      </c>
      <c r="F64" s="158">
        <v>56701.17</v>
      </c>
    </row>
    <row r="65" spans="1:6" ht="15.75" thickBot="1" x14ac:dyDescent="0.3">
      <c r="A65" s="173"/>
      <c r="B65" s="18">
        <v>113402.34</v>
      </c>
      <c r="C65" s="18">
        <v>170103.51</v>
      </c>
      <c r="D65" s="18">
        <v>7938.16</v>
      </c>
      <c r="E65" s="19">
        <v>0.12</v>
      </c>
      <c r="F65" s="158">
        <v>113402.34</v>
      </c>
    </row>
    <row r="66" spans="1:6" ht="15.75" thickBot="1" x14ac:dyDescent="0.3">
      <c r="A66" s="173"/>
      <c r="B66" s="18">
        <v>170103.51</v>
      </c>
      <c r="C66" s="18">
        <v>226804.68</v>
      </c>
      <c r="D66" s="18">
        <v>14742.3</v>
      </c>
      <c r="E66" s="19">
        <v>0.15</v>
      </c>
      <c r="F66" s="158">
        <v>170103.51</v>
      </c>
    </row>
    <row r="67" spans="1:6" ht="15.75" thickBot="1" x14ac:dyDescent="0.3">
      <c r="A67" s="173"/>
      <c r="B67" s="18">
        <v>226804.68</v>
      </c>
      <c r="C67" s="18">
        <v>340207.01</v>
      </c>
      <c r="D67" s="18">
        <v>23247.48</v>
      </c>
      <c r="E67" s="19">
        <v>0.19</v>
      </c>
      <c r="F67" s="158">
        <v>226804.68</v>
      </c>
    </row>
    <row r="68" spans="1:6" ht="15.75" thickBot="1" x14ac:dyDescent="0.3">
      <c r="A68" s="173"/>
      <c r="B68" s="18">
        <v>340207.01</v>
      </c>
      <c r="C68" s="18">
        <v>453609.34</v>
      </c>
      <c r="D68" s="18">
        <v>44793.919999999998</v>
      </c>
      <c r="E68" s="19">
        <v>0.23</v>
      </c>
      <c r="F68" s="158">
        <v>340207.01</v>
      </c>
    </row>
    <row r="69" spans="1:6" ht="15.75" thickBot="1" x14ac:dyDescent="0.3">
      <c r="A69" s="173"/>
      <c r="B69" s="18">
        <v>453609.34</v>
      </c>
      <c r="C69" s="18">
        <v>680414.02</v>
      </c>
      <c r="D69" s="18">
        <v>70876.460000000006</v>
      </c>
      <c r="E69" s="19">
        <v>0.27</v>
      </c>
      <c r="F69" s="158">
        <v>453609.34</v>
      </c>
    </row>
    <row r="70" spans="1:6" ht="15.75" thickBot="1" x14ac:dyDescent="0.3">
      <c r="A70" s="173"/>
      <c r="B70" s="18">
        <v>680414.02</v>
      </c>
      <c r="C70" s="18">
        <v>907218.71</v>
      </c>
      <c r="D70" s="18">
        <v>132113.72200000001</v>
      </c>
      <c r="E70" s="19">
        <v>0.31</v>
      </c>
      <c r="F70" s="158">
        <v>680414.02</v>
      </c>
    </row>
    <row r="71" spans="1:6" ht="15.75" thickBot="1" x14ac:dyDescent="0.3">
      <c r="A71" s="174"/>
      <c r="B71" s="159">
        <v>907218.71</v>
      </c>
      <c r="C71" s="160" t="s">
        <v>115</v>
      </c>
      <c r="D71" s="159">
        <v>202423.17</v>
      </c>
      <c r="E71" s="161">
        <v>0.35</v>
      </c>
      <c r="F71" s="162">
        <v>907218.71</v>
      </c>
    </row>
    <row r="72" spans="1:6" ht="15.75" thickBot="1" x14ac:dyDescent="0.3">
      <c r="A72" s="172" t="s">
        <v>9</v>
      </c>
      <c r="B72" s="154">
        <v>0</v>
      </c>
      <c r="C72" s="155">
        <v>64801.33</v>
      </c>
      <c r="D72" s="154">
        <v>0</v>
      </c>
      <c r="E72" s="156">
        <v>0.05</v>
      </c>
      <c r="F72" s="157">
        <v>0</v>
      </c>
    </row>
    <row r="73" spans="1:6" ht="15.75" thickBot="1" x14ac:dyDescent="0.3">
      <c r="A73" s="173"/>
      <c r="B73" s="18">
        <v>64801.33</v>
      </c>
      <c r="C73" s="18">
        <v>129602.67</v>
      </c>
      <c r="D73" s="18">
        <v>3240.07</v>
      </c>
      <c r="E73" s="19">
        <v>0.09</v>
      </c>
      <c r="F73" s="158">
        <v>64801.33</v>
      </c>
    </row>
    <row r="74" spans="1:6" ht="15.75" thickBot="1" x14ac:dyDescent="0.3">
      <c r="A74" s="173"/>
      <c r="B74" s="18">
        <v>129602.67</v>
      </c>
      <c r="C74" s="18">
        <v>194404.01</v>
      </c>
      <c r="D74" s="18">
        <v>9072.19</v>
      </c>
      <c r="E74" s="19">
        <v>0.12</v>
      </c>
      <c r="F74" s="158">
        <v>129602.67</v>
      </c>
    </row>
    <row r="75" spans="1:6" ht="15.75" thickBot="1" x14ac:dyDescent="0.3">
      <c r="A75" s="173"/>
      <c r="B75" s="18">
        <v>194404.01</v>
      </c>
      <c r="C75" s="18">
        <v>259205.35</v>
      </c>
      <c r="D75" s="18">
        <v>16848.349999999999</v>
      </c>
      <c r="E75" s="19">
        <v>0.15</v>
      </c>
      <c r="F75" s="158">
        <v>194404.01</v>
      </c>
    </row>
    <row r="76" spans="1:6" ht="15.75" thickBot="1" x14ac:dyDescent="0.3">
      <c r="A76" s="173"/>
      <c r="B76" s="18">
        <v>259205.35</v>
      </c>
      <c r="C76" s="18">
        <v>388808.01</v>
      </c>
      <c r="D76" s="18">
        <v>26568.55</v>
      </c>
      <c r="E76" s="19">
        <v>0.19</v>
      </c>
      <c r="F76" s="158">
        <v>259205.35</v>
      </c>
    </row>
    <row r="77" spans="1:6" ht="15.75" thickBot="1" x14ac:dyDescent="0.3">
      <c r="A77" s="173"/>
      <c r="B77" s="18">
        <v>388808.01</v>
      </c>
      <c r="C77" s="18">
        <v>518410.68</v>
      </c>
      <c r="D77" s="18">
        <v>51193.05</v>
      </c>
      <c r="E77" s="19">
        <v>0.23</v>
      </c>
      <c r="F77" s="158">
        <v>388808.01</v>
      </c>
    </row>
    <row r="78" spans="1:6" ht="15.75" thickBot="1" x14ac:dyDescent="0.3">
      <c r="A78" s="173"/>
      <c r="B78" s="18">
        <v>518410.68</v>
      </c>
      <c r="C78" s="18">
        <v>777616.02</v>
      </c>
      <c r="D78" s="18">
        <v>81001.67</v>
      </c>
      <c r="E78" s="19">
        <v>0.27</v>
      </c>
      <c r="F78" s="158">
        <v>518410.68</v>
      </c>
    </row>
    <row r="79" spans="1:6" ht="15.75" thickBot="1" x14ac:dyDescent="0.3">
      <c r="A79" s="173"/>
      <c r="B79" s="18">
        <v>777616.02</v>
      </c>
      <c r="C79" s="18">
        <v>1036821.38</v>
      </c>
      <c r="D79" s="18">
        <v>150987.10999999999</v>
      </c>
      <c r="E79" s="19">
        <v>0.31</v>
      </c>
      <c r="F79" s="158">
        <v>777616.02</v>
      </c>
    </row>
    <row r="80" spans="1:6" ht="15.75" thickBot="1" x14ac:dyDescent="0.3">
      <c r="A80" s="174"/>
      <c r="B80" s="159">
        <v>1036821.38</v>
      </c>
      <c r="C80" s="160" t="s">
        <v>115</v>
      </c>
      <c r="D80" s="18">
        <v>231340.77</v>
      </c>
      <c r="E80" s="161">
        <v>0.35</v>
      </c>
      <c r="F80" s="162">
        <v>1036821.38</v>
      </c>
    </row>
    <row r="81" spans="1:6" ht="15.75" thickBot="1" x14ac:dyDescent="0.3">
      <c r="A81" s="172" t="s">
        <v>116</v>
      </c>
      <c r="B81" s="154">
        <v>0</v>
      </c>
      <c r="C81" s="155">
        <v>72901.5</v>
      </c>
      <c r="D81" s="154">
        <v>0</v>
      </c>
      <c r="E81" s="156">
        <v>0.05</v>
      </c>
      <c r="F81" s="157">
        <v>0</v>
      </c>
    </row>
    <row r="82" spans="1:6" ht="15.75" thickBot="1" x14ac:dyDescent="0.3">
      <c r="A82" s="173"/>
      <c r="B82" s="18">
        <v>72901.5</v>
      </c>
      <c r="C82" s="18">
        <v>145803.01</v>
      </c>
      <c r="D82" s="18">
        <v>3645.07</v>
      </c>
      <c r="E82" s="19">
        <v>0.09</v>
      </c>
      <c r="F82" s="158">
        <v>72901.5</v>
      </c>
    </row>
    <row r="83" spans="1:6" ht="15.75" thickBot="1" x14ac:dyDescent="0.3">
      <c r="A83" s="173"/>
      <c r="B83" s="18">
        <v>145803.01</v>
      </c>
      <c r="C83" s="18">
        <v>218704.51</v>
      </c>
      <c r="D83" s="18">
        <v>10206.209999999999</v>
      </c>
      <c r="E83" s="19">
        <v>0.12</v>
      </c>
      <c r="F83" s="158">
        <v>145803.01</v>
      </c>
    </row>
    <row r="84" spans="1:6" ht="15.75" thickBot="1" x14ac:dyDescent="0.3">
      <c r="A84" s="173"/>
      <c r="B84" s="18">
        <v>218704.51</v>
      </c>
      <c r="C84" s="18">
        <v>291606.02</v>
      </c>
      <c r="D84" s="18">
        <v>18954.39</v>
      </c>
      <c r="E84" s="19">
        <v>0.15</v>
      </c>
      <c r="F84" s="158">
        <v>218704.51</v>
      </c>
    </row>
    <row r="85" spans="1:6" ht="15.75" thickBot="1" x14ac:dyDescent="0.3">
      <c r="A85" s="173"/>
      <c r="B85" s="18">
        <v>291606.02</v>
      </c>
      <c r="C85" s="18">
        <v>437409.02</v>
      </c>
      <c r="D85" s="18">
        <v>29889.62</v>
      </c>
      <c r="E85" s="19">
        <v>0.19</v>
      </c>
      <c r="F85" s="158">
        <v>291606.02</v>
      </c>
    </row>
    <row r="86" spans="1:6" ht="15.75" thickBot="1" x14ac:dyDescent="0.3">
      <c r="A86" s="173"/>
      <c r="B86" s="18">
        <v>437409.02</v>
      </c>
      <c r="C86" s="18">
        <v>583212.01</v>
      </c>
      <c r="D86" s="18">
        <v>57592.19</v>
      </c>
      <c r="E86" s="19">
        <v>0.23</v>
      </c>
      <c r="F86" s="158">
        <v>437409.02</v>
      </c>
    </row>
    <row r="87" spans="1:6" ht="15.75" thickBot="1" x14ac:dyDescent="0.3">
      <c r="A87" s="173"/>
      <c r="B87" s="18">
        <v>583212.01</v>
      </c>
      <c r="C87" s="18">
        <v>874818.02</v>
      </c>
      <c r="D87" s="18">
        <v>91126.88</v>
      </c>
      <c r="E87" s="19">
        <v>0.27</v>
      </c>
      <c r="F87" s="158">
        <v>583212.01</v>
      </c>
    </row>
    <row r="88" spans="1:6" ht="15.75" thickBot="1" x14ac:dyDescent="0.3">
      <c r="A88" s="173"/>
      <c r="B88" s="18">
        <v>874818.02</v>
      </c>
      <c r="C88" s="18">
        <v>1166424.05</v>
      </c>
      <c r="D88" s="18">
        <v>169860.5</v>
      </c>
      <c r="E88" s="19">
        <v>0.31</v>
      </c>
      <c r="F88" s="158">
        <v>874818.02</v>
      </c>
    </row>
    <row r="89" spans="1:6" ht="15.75" thickBot="1" x14ac:dyDescent="0.3">
      <c r="A89" s="174"/>
      <c r="B89" s="159">
        <v>1166424.05</v>
      </c>
      <c r="C89" s="160" t="s">
        <v>115</v>
      </c>
      <c r="D89" s="18">
        <v>260258.37</v>
      </c>
      <c r="E89" s="161">
        <v>0.35</v>
      </c>
      <c r="F89" s="162">
        <v>1166424.05</v>
      </c>
    </row>
    <row r="90" spans="1:6" ht="15.75" thickBot="1" x14ac:dyDescent="0.3">
      <c r="A90" s="172" t="s">
        <v>11</v>
      </c>
      <c r="B90" s="154">
        <v>0</v>
      </c>
      <c r="C90" s="155">
        <v>81001.67</v>
      </c>
      <c r="D90" s="154">
        <v>0</v>
      </c>
      <c r="E90" s="156">
        <v>0.05</v>
      </c>
      <c r="F90" s="157">
        <v>0</v>
      </c>
    </row>
    <row r="91" spans="1:6" ht="15.75" thickBot="1" x14ac:dyDescent="0.3">
      <c r="A91" s="173"/>
      <c r="B91" s="18">
        <v>81001.67</v>
      </c>
      <c r="C91" s="18">
        <v>162003.34</v>
      </c>
      <c r="D91" s="18">
        <v>4050.08</v>
      </c>
      <c r="E91" s="19">
        <v>0.09</v>
      </c>
      <c r="F91" s="158">
        <v>81001.67</v>
      </c>
    </row>
    <row r="92" spans="1:6" ht="15.75" thickBot="1" x14ac:dyDescent="0.3">
      <c r="A92" s="173"/>
      <c r="B92" s="18">
        <v>162003.34</v>
      </c>
      <c r="C92" s="18">
        <v>243005.01</v>
      </c>
      <c r="D92" s="18">
        <v>11340.23</v>
      </c>
      <c r="E92" s="19">
        <v>0.12</v>
      </c>
      <c r="F92" s="158">
        <v>162003.34</v>
      </c>
    </row>
    <row r="93" spans="1:6" ht="15.75" thickBot="1" x14ac:dyDescent="0.3">
      <c r="A93" s="173"/>
      <c r="B93" s="18">
        <v>243005.01</v>
      </c>
      <c r="C93" s="18">
        <v>324006.69</v>
      </c>
      <c r="D93" s="18">
        <v>21060.43</v>
      </c>
      <c r="E93" s="19">
        <v>0.15</v>
      </c>
      <c r="F93" s="158">
        <v>243005.01</v>
      </c>
    </row>
    <row r="94" spans="1:6" ht="15.75" thickBot="1" x14ac:dyDescent="0.3">
      <c r="A94" s="173"/>
      <c r="B94" s="18">
        <v>324006.69</v>
      </c>
      <c r="C94" s="18">
        <v>486010.02</v>
      </c>
      <c r="D94" s="18">
        <v>33210.69</v>
      </c>
      <c r="E94" s="19">
        <v>0.19</v>
      </c>
      <c r="F94" s="158">
        <v>324006.69</v>
      </c>
    </row>
    <row r="95" spans="1:6" ht="15.75" thickBot="1" x14ac:dyDescent="0.3">
      <c r="A95" s="173"/>
      <c r="B95" s="18">
        <v>486010.02</v>
      </c>
      <c r="C95" s="18">
        <v>648013.35</v>
      </c>
      <c r="D95" s="18">
        <v>63991.32</v>
      </c>
      <c r="E95" s="19">
        <v>0.23</v>
      </c>
      <c r="F95" s="158">
        <v>486010.02</v>
      </c>
    </row>
    <row r="96" spans="1:6" ht="15.75" thickBot="1" x14ac:dyDescent="0.3">
      <c r="A96" s="173"/>
      <c r="B96" s="18">
        <v>648013.35</v>
      </c>
      <c r="C96" s="18">
        <v>972020.02</v>
      </c>
      <c r="D96" s="18">
        <v>101252.08</v>
      </c>
      <c r="E96" s="19">
        <v>0.27</v>
      </c>
      <c r="F96" s="158">
        <v>648013.35</v>
      </c>
    </row>
    <row r="97" spans="1:6" ht="15.75" thickBot="1" x14ac:dyDescent="0.3">
      <c r="A97" s="173"/>
      <c r="B97" s="18">
        <v>972020.02</v>
      </c>
      <c r="C97" s="18">
        <v>1296026.72</v>
      </c>
      <c r="D97" s="18">
        <v>188733.89</v>
      </c>
      <c r="E97" s="19">
        <v>0.31</v>
      </c>
      <c r="F97" s="158">
        <v>972020.02</v>
      </c>
    </row>
    <row r="98" spans="1:6" ht="15.75" thickBot="1" x14ac:dyDescent="0.3">
      <c r="A98" s="174"/>
      <c r="B98" s="159">
        <v>1296026.72</v>
      </c>
      <c r="C98" s="160" t="s">
        <v>115</v>
      </c>
      <c r="D98" s="18">
        <v>289175.96000000002</v>
      </c>
      <c r="E98" s="161">
        <v>0.35</v>
      </c>
      <c r="F98" s="162">
        <v>1296026.72</v>
      </c>
    </row>
    <row r="99" spans="1:6" ht="15.75" thickBot="1" x14ac:dyDescent="0.3">
      <c r="A99" s="172" t="s">
        <v>12</v>
      </c>
      <c r="B99" s="154">
        <v>0</v>
      </c>
      <c r="C99" s="155">
        <v>89101.83</v>
      </c>
      <c r="D99" s="154">
        <v>0</v>
      </c>
      <c r="E99" s="156">
        <v>0.05</v>
      </c>
      <c r="F99" s="157">
        <v>0</v>
      </c>
    </row>
    <row r="100" spans="1:6" ht="15.75" thickBot="1" x14ac:dyDescent="0.3">
      <c r="A100" s="173"/>
      <c r="B100" s="18">
        <v>89101.83</v>
      </c>
      <c r="C100" s="18">
        <v>178203.68</v>
      </c>
      <c r="D100" s="18">
        <v>4455.09</v>
      </c>
      <c r="E100" s="19">
        <v>0.09</v>
      </c>
      <c r="F100" s="158">
        <v>89101.83</v>
      </c>
    </row>
    <row r="101" spans="1:6" ht="15.75" thickBot="1" x14ac:dyDescent="0.3">
      <c r="A101" s="173"/>
      <c r="B101" s="18">
        <v>178203.68</v>
      </c>
      <c r="C101" s="18">
        <v>267305.51</v>
      </c>
      <c r="D101" s="18">
        <v>12474.26</v>
      </c>
      <c r="E101" s="19">
        <v>0.12</v>
      </c>
      <c r="F101" s="158">
        <v>178203.68</v>
      </c>
    </row>
    <row r="102" spans="1:6" ht="15.75" thickBot="1" x14ac:dyDescent="0.3">
      <c r="A102" s="173"/>
      <c r="B102" s="18">
        <v>267305.51</v>
      </c>
      <c r="C102" s="18">
        <v>356407.36</v>
      </c>
      <c r="D102" s="18">
        <v>23166.48</v>
      </c>
      <c r="E102" s="19">
        <v>0.15</v>
      </c>
      <c r="F102" s="158">
        <v>267305.51</v>
      </c>
    </row>
    <row r="103" spans="1:6" ht="15.75" thickBot="1" x14ac:dyDescent="0.3">
      <c r="A103" s="173"/>
      <c r="B103" s="18">
        <v>356407.36</v>
      </c>
      <c r="C103" s="18">
        <v>534611.02</v>
      </c>
      <c r="D103" s="18">
        <v>36531.75</v>
      </c>
      <c r="E103" s="19">
        <v>0.19</v>
      </c>
      <c r="F103" s="158">
        <v>356407.36</v>
      </c>
    </row>
    <row r="104" spans="1:6" ht="15.75" thickBot="1" x14ac:dyDescent="0.3">
      <c r="A104" s="173"/>
      <c r="B104" s="18">
        <v>534611.02</v>
      </c>
      <c r="C104" s="18">
        <v>712814.68</v>
      </c>
      <c r="D104" s="18">
        <v>70390.45</v>
      </c>
      <c r="E104" s="19">
        <v>0.23</v>
      </c>
      <c r="F104" s="158">
        <v>534611.02</v>
      </c>
    </row>
    <row r="105" spans="1:6" ht="15.75" thickBot="1" x14ac:dyDescent="0.3">
      <c r="A105" s="173"/>
      <c r="B105" s="18">
        <v>712814.68</v>
      </c>
      <c r="C105" s="18">
        <v>1069222.03</v>
      </c>
      <c r="D105" s="18">
        <v>111377.29</v>
      </c>
      <c r="E105" s="19">
        <v>0.27</v>
      </c>
      <c r="F105" s="158">
        <v>712814.68</v>
      </c>
    </row>
    <row r="106" spans="1:6" ht="15.75" thickBot="1" x14ac:dyDescent="0.3">
      <c r="A106" s="173"/>
      <c r="B106" s="18">
        <v>1069222.03</v>
      </c>
      <c r="C106" s="18">
        <v>1425629.4</v>
      </c>
      <c r="D106" s="18">
        <v>207607.28</v>
      </c>
      <c r="E106" s="19">
        <v>0.31</v>
      </c>
      <c r="F106" s="158">
        <v>1069222.03</v>
      </c>
    </row>
    <row r="107" spans="1:6" ht="15.75" thickBot="1" x14ac:dyDescent="0.3">
      <c r="A107" s="174"/>
      <c r="B107" s="159">
        <v>1425629.4</v>
      </c>
      <c r="C107" s="160" t="s">
        <v>115</v>
      </c>
      <c r="D107" s="18">
        <v>318093.56</v>
      </c>
      <c r="E107" s="161">
        <v>0.35</v>
      </c>
      <c r="F107" s="162">
        <v>1425629.4</v>
      </c>
    </row>
    <row r="108" spans="1:6" ht="15.75" thickBot="1" x14ac:dyDescent="0.3">
      <c r="A108" s="172" t="s">
        <v>13</v>
      </c>
      <c r="B108" s="154">
        <v>0</v>
      </c>
      <c r="C108" s="155">
        <v>97202</v>
      </c>
      <c r="D108" s="154">
        <v>0</v>
      </c>
      <c r="E108" s="156">
        <v>0.05</v>
      </c>
      <c r="F108" s="157">
        <v>0</v>
      </c>
    </row>
    <row r="109" spans="1:6" ht="15.75" thickBot="1" x14ac:dyDescent="0.3">
      <c r="A109" s="173"/>
      <c r="B109" s="18">
        <v>97202</v>
      </c>
      <c r="C109" s="18">
        <v>194404.01</v>
      </c>
      <c r="D109" s="18">
        <v>4860.1000000000004</v>
      </c>
      <c r="E109" s="19">
        <v>0.09</v>
      </c>
      <c r="F109" s="158">
        <v>97202</v>
      </c>
    </row>
    <row r="110" spans="1:6" ht="15.75" thickBot="1" x14ac:dyDescent="0.3">
      <c r="A110" s="173"/>
      <c r="B110" s="18">
        <v>194404.01</v>
      </c>
      <c r="C110" s="18">
        <v>291606.01</v>
      </c>
      <c r="D110" s="18">
        <v>13608.28</v>
      </c>
      <c r="E110" s="19">
        <v>0.12</v>
      </c>
      <c r="F110" s="158">
        <v>194404.01</v>
      </c>
    </row>
    <row r="111" spans="1:6" ht="15.75" thickBot="1" x14ac:dyDescent="0.3">
      <c r="A111" s="173"/>
      <c r="B111" s="18">
        <v>291606.01</v>
      </c>
      <c r="C111" s="18">
        <v>388808.02</v>
      </c>
      <c r="D111" s="18">
        <v>25272.52</v>
      </c>
      <c r="E111" s="19">
        <v>0.15</v>
      </c>
      <c r="F111" s="158">
        <v>291606.01</v>
      </c>
    </row>
    <row r="112" spans="1:6" ht="15.75" thickBot="1" x14ac:dyDescent="0.3">
      <c r="A112" s="173"/>
      <c r="B112" s="18">
        <v>388808.02</v>
      </c>
      <c r="C112" s="18">
        <v>583212.02</v>
      </c>
      <c r="D112" s="18">
        <v>39852.82</v>
      </c>
      <c r="E112" s="19">
        <v>0.19</v>
      </c>
      <c r="F112" s="158">
        <v>388808.02</v>
      </c>
    </row>
    <row r="113" spans="1:6" ht="15.75" thickBot="1" x14ac:dyDescent="0.3">
      <c r="A113" s="173"/>
      <c r="B113" s="18">
        <v>583212.02</v>
      </c>
      <c r="C113" s="18">
        <v>777616.02</v>
      </c>
      <c r="D113" s="18">
        <v>76789.58</v>
      </c>
      <c r="E113" s="19">
        <v>0.23</v>
      </c>
      <c r="F113" s="158">
        <v>583212.02</v>
      </c>
    </row>
    <row r="114" spans="1:6" ht="15.75" thickBot="1" x14ac:dyDescent="0.3">
      <c r="A114" s="173"/>
      <c r="B114" s="18">
        <v>777616.02</v>
      </c>
      <c r="C114" s="18">
        <v>1166424.03</v>
      </c>
      <c r="D114" s="18">
        <v>121502.5</v>
      </c>
      <c r="E114" s="19">
        <v>0.27</v>
      </c>
      <c r="F114" s="158">
        <v>777616.02</v>
      </c>
    </row>
    <row r="115" spans="1:6" ht="15.75" thickBot="1" x14ac:dyDescent="0.3">
      <c r="A115" s="173"/>
      <c r="B115" s="18">
        <v>1166424.03</v>
      </c>
      <c r="C115" s="18">
        <v>1555232.07</v>
      </c>
      <c r="D115" s="18">
        <v>226480.66</v>
      </c>
      <c r="E115" s="19">
        <v>0.31</v>
      </c>
      <c r="F115" s="158">
        <v>1166424.03</v>
      </c>
    </row>
    <row r="116" spans="1:6" ht="15.75" thickBot="1" x14ac:dyDescent="0.3">
      <c r="A116" s="174"/>
      <c r="B116" s="159">
        <v>1555232.07</v>
      </c>
      <c r="C116" s="160" t="s">
        <v>115</v>
      </c>
      <c r="D116" s="18">
        <v>347011.16</v>
      </c>
      <c r="E116" s="161">
        <v>0.35</v>
      </c>
      <c r="F116" s="162">
        <v>1555232.07</v>
      </c>
    </row>
  </sheetData>
  <sheetProtection algorithmName="SHA-512" hashValue="AMzUEeWfjl0n1IqQPgyuQr199WCNEThFc6LGg8LObXzQ/nHwai3nCc5eY84/5s/AnCU80288FI/6KDHmk7c+5Q==" saltValue="zaVQ2YGmz10XR63e+cajuw==" spinCount="100000" sheet="1" objects="1" scenarios="1"/>
  <mergeCells count="20">
    <mergeCell ref="D6:F6"/>
    <mergeCell ref="A90:A98"/>
    <mergeCell ref="A99:A107"/>
    <mergeCell ref="A108:A116"/>
    <mergeCell ref="A45:A53"/>
    <mergeCell ref="A54:A62"/>
    <mergeCell ref="A63:A71"/>
    <mergeCell ref="A72:A80"/>
    <mergeCell ref="A36:A44"/>
    <mergeCell ref="A7:A8"/>
    <mergeCell ref="B7:C7"/>
    <mergeCell ref="D7:F7"/>
    <mergeCell ref="A81:A89"/>
    <mergeCell ref="A2:C2"/>
    <mergeCell ref="A4:C4"/>
    <mergeCell ref="A9:A17"/>
    <mergeCell ref="A18:A26"/>
    <mergeCell ref="A27:A35"/>
    <mergeCell ref="A6:C6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2"/>
  <sheetViews>
    <sheetView workbookViewId="0">
      <selection activeCell="C4" sqref="C4"/>
    </sheetView>
  </sheetViews>
  <sheetFormatPr baseColWidth="10" defaultRowHeight="15" x14ac:dyDescent="0.25"/>
  <cols>
    <col min="3" max="3" width="11.42578125" style="163"/>
  </cols>
  <sheetData>
    <row r="2" spans="1:5" ht="36" x14ac:dyDescent="0.25">
      <c r="A2" s="77" t="s">
        <v>117</v>
      </c>
      <c r="B2" s="79" t="s">
        <v>118</v>
      </c>
    </row>
    <row r="3" spans="1:5" x14ac:dyDescent="0.25">
      <c r="A3" s="78">
        <v>225937</v>
      </c>
      <c r="B3" s="80"/>
      <c r="C3" s="163">
        <v>64737</v>
      </c>
    </row>
    <row r="4" spans="1:5" x14ac:dyDescent="0.25">
      <c r="A4" s="78">
        <v>226087</v>
      </c>
      <c r="B4" s="80">
        <v>64737</v>
      </c>
      <c r="C4" s="163">
        <v>64180</v>
      </c>
      <c r="E4" s="150"/>
    </row>
    <row r="5" spans="1:5" x14ac:dyDescent="0.25">
      <c r="A5" s="78">
        <v>226238</v>
      </c>
      <c r="B5" s="80">
        <v>64180</v>
      </c>
      <c r="C5" s="163">
        <v>63669</v>
      </c>
    </row>
    <row r="6" spans="1:5" x14ac:dyDescent="0.25">
      <c r="A6" s="78">
        <v>226389</v>
      </c>
      <c r="B6" s="80">
        <v>63669</v>
      </c>
      <c r="C6" s="163">
        <v>63187</v>
      </c>
    </row>
    <row r="7" spans="1:5" x14ac:dyDescent="0.25">
      <c r="A7" s="78">
        <v>226539</v>
      </c>
      <c r="B7" s="80">
        <v>63187</v>
      </c>
      <c r="C7" s="163">
        <v>62726</v>
      </c>
    </row>
    <row r="8" spans="1:5" x14ac:dyDescent="0.25">
      <c r="A8" s="78">
        <v>226690</v>
      </c>
      <c r="B8" s="80">
        <v>62726</v>
      </c>
      <c r="C8" s="163">
        <v>62280</v>
      </c>
    </row>
    <row r="9" spans="1:5" x14ac:dyDescent="0.25">
      <c r="A9" s="78">
        <v>226841</v>
      </c>
      <c r="B9" s="80">
        <v>62280</v>
      </c>
      <c r="C9" s="163">
        <v>61848</v>
      </c>
    </row>
    <row r="10" spans="1:5" x14ac:dyDescent="0.25">
      <c r="A10" s="78">
        <v>226991</v>
      </c>
      <c r="B10" s="80">
        <v>61848</v>
      </c>
      <c r="C10" s="163">
        <v>61425</v>
      </c>
    </row>
    <row r="11" spans="1:5" x14ac:dyDescent="0.25">
      <c r="A11" s="78">
        <v>227142</v>
      </c>
      <c r="B11" s="80">
        <v>61425</v>
      </c>
      <c r="C11" s="163">
        <v>61010</v>
      </c>
    </row>
    <row r="12" spans="1:5" x14ac:dyDescent="0.25">
      <c r="A12" s="78">
        <v>227292</v>
      </c>
      <c r="B12" s="80">
        <v>61010</v>
      </c>
      <c r="C12" s="163">
        <v>60605</v>
      </c>
    </row>
    <row r="13" spans="1:5" x14ac:dyDescent="0.25">
      <c r="A13" s="78">
        <v>227443</v>
      </c>
      <c r="B13" s="80">
        <v>60605</v>
      </c>
      <c r="C13" s="163">
        <v>60206</v>
      </c>
    </row>
    <row r="14" spans="1:5" x14ac:dyDescent="0.25">
      <c r="A14" s="78">
        <v>227594</v>
      </c>
      <c r="B14" s="80">
        <v>60206</v>
      </c>
      <c r="C14" s="163">
        <v>59813</v>
      </c>
    </row>
    <row r="15" spans="1:5" x14ac:dyDescent="0.25">
      <c r="A15" s="78">
        <v>227744</v>
      </c>
      <c r="B15" s="80">
        <v>59813</v>
      </c>
      <c r="C15" s="163">
        <v>59424</v>
      </c>
    </row>
    <row r="16" spans="1:5" x14ac:dyDescent="0.25">
      <c r="A16" s="78">
        <v>227895</v>
      </c>
      <c r="B16" s="80">
        <v>59424</v>
      </c>
      <c r="C16" s="163">
        <v>59043</v>
      </c>
    </row>
    <row r="17" spans="1:3" x14ac:dyDescent="0.25">
      <c r="A17" s="78">
        <v>228046</v>
      </c>
      <c r="B17" s="80">
        <v>59043</v>
      </c>
      <c r="C17" s="163">
        <v>58665</v>
      </c>
    </row>
    <row r="18" spans="1:3" x14ac:dyDescent="0.25">
      <c r="A18" s="78">
        <v>228196</v>
      </c>
      <c r="B18" s="80">
        <v>58665</v>
      </c>
      <c r="C18" s="163">
        <v>58292</v>
      </c>
    </row>
    <row r="19" spans="1:3" x14ac:dyDescent="0.25">
      <c r="A19" s="78">
        <v>228347</v>
      </c>
      <c r="B19" s="80">
        <v>58292</v>
      </c>
      <c r="C19" s="163">
        <v>57921</v>
      </c>
    </row>
    <row r="20" spans="1:3" x14ac:dyDescent="0.25">
      <c r="A20" s="78">
        <v>228497</v>
      </c>
      <c r="B20" s="80">
        <v>57921</v>
      </c>
      <c r="C20" s="163">
        <v>57555</v>
      </c>
    </row>
    <row r="21" spans="1:3" x14ac:dyDescent="0.25">
      <c r="A21" s="78">
        <v>228648</v>
      </c>
      <c r="B21" s="80">
        <v>57555</v>
      </c>
      <c r="C21" s="163">
        <v>57192</v>
      </c>
    </row>
    <row r="22" spans="1:3" x14ac:dyDescent="0.25">
      <c r="A22" s="78">
        <v>228799</v>
      </c>
      <c r="B22" s="80">
        <v>57192</v>
      </c>
      <c r="C22" s="163">
        <v>56834</v>
      </c>
    </row>
    <row r="23" spans="1:3" x14ac:dyDescent="0.25">
      <c r="A23" s="78">
        <v>228949</v>
      </c>
      <c r="B23" s="80">
        <v>56834</v>
      </c>
      <c r="C23" s="163">
        <v>56477</v>
      </c>
    </row>
    <row r="24" spans="1:3" x14ac:dyDescent="0.25">
      <c r="A24" s="78">
        <v>229100</v>
      </c>
      <c r="B24" s="80">
        <v>56477</v>
      </c>
      <c r="C24" s="163">
        <v>56124</v>
      </c>
    </row>
    <row r="25" spans="1:3" x14ac:dyDescent="0.25">
      <c r="A25" s="78">
        <v>229251</v>
      </c>
      <c r="B25" s="80">
        <v>56124</v>
      </c>
      <c r="C25" s="163">
        <v>55773</v>
      </c>
    </row>
    <row r="26" spans="1:3" x14ac:dyDescent="0.25">
      <c r="A26" s="78">
        <v>229401</v>
      </c>
      <c r="B26" s="80">
        <v>55773</v>
      </c>
      <c r="C26" s="163">
        <v>55425</v>
      </c>
    </row>
    <row r="27" spans="1:3" x14ac:dyDescent="0.25">
      <c r="A27" s="78">
        <v>229552</v>
      </c>
      <c r="B27" s="80">
        <v>55425</v>
      </c>
      <c r="C27" s="163">
        <v>55079</v>
      </c>
    </row>
    <row r="28" spans="1:3" x14ac:dyDescent="0.25">
      <c r="A28" s="78">
        <v>229702</v>
      </c>
      <c r="B28" s="80">
        <v>55079</v>
      </c>
      <c r="C28" s="163">
        <v>54735</v>
      </c>
    </row>
    <row r="29" spans="1:3" x14ac:dyDescent="0.25">
      <c r="A29" s="78">
        <v>229853</v>
      </c>
      <c r="B29" s="80">
        <v>54735</v>
      </c>
      <c r="C29" s="163">
        <v>54395</v>
      </c>
    </row>
    <row r="30" spans="1:3" x14ac:dyDescent="0.25">
      <c r="A30" s="78">
        <v>230004</v>
      </c>
      <c r="B30" s="80">
        <v>54395</v>
      </c>
      <c r="C30" s="163">
        <v>54056</v>
      </c>
    </row>
    <row r="31" spans="1:3" x14ac:dyDescent="0.25">
      <c r="A31" s="78">
        <v>230154</v>
      </c>
      <c r="B31" s="80">
        <v>54056</v>
      </c>
      <c r="C31" s="163">
        <v>53719</v>
      </c>
    </row>
    <row r="32" spans="1:3" x14ac:dyDescent="0.25">
      <c r="A32" s="78">
        <v>230305</v>
      </c>
      <c r="B32" s="80">
        <v>53719</v>
      </c>
      <c r="C32" s="163">
        <v>53384</v>
      </c>
    </row>
    <row r="33" spans="1:3" x14ac:dyDescent="0.25">
      <c r="A33" s="78">
        <v>230456</v>
      </c>
      <c r="B33" s="80">
        <v>53384</v>
      </c>
      <c r="C33" s="163">
        <v>53051</v>
      </c>
    </row>
    <row r="34" spans="1:3" x14ac:dyDescent="0.25">
      <c r="A34" s="78">
        <v>230606</v>
      </c>
      <c r="B34" s="80">
        <v>53051</v>
      </c>
      <c r="C34" s="163">
        <v>52720</v>
      </c>
    </row>
    <row r="35" spans="1:3" x14ac:dyDescent="0.25">
      <c r="A35" s="78">
        <v>230757</v>
      </c>
      <c r="B35" s="80">
        <v>52720</v>
      </c>
      <c r="C35" s="163">
        <v>52390</v>
      </c>
    </row>
    <row r="36" spans="1:3" x14ac:dyDescent="0.25">
      <c r="A36" s="78">
        <v>230907</v>
      </c>
      <c r="B36" s="80">
        <v>52390</v>
      </c>
      <c r="C36" s="163">
        <v>52063</v>
      </c>
    </row>
    <row r="37" spans="1:3" x14ac:dyDescent="0.25">
      <c r="A37" s="78">
        <v>231058</v>
      </c>
      <c r="B37" s="80">
        <v>52063</v>
      </c>
      <c r="C37" s="163">
        <v>51737</v>
      </c>
    </row>
    <row r="38" spans="1:3" x14ac:dyDescent="0.25">
      <c r="A38" s="78">
        <v>231209</v>
      </c>
      <c r="B38" s="80">
        <v>51737</v>
      </c>
      <c r="C38" s="163">
        <v>51413</v>
      </c>
    </row>
    <row r="39" spans="1:3" x14ac:dyDescent="0.25">
      <c r="A39" s="78">
        <v>231359</v>
      </c>
      <c r="B39" s="80">
        <v>51413</v>
      </c>
      <c r="C39" s="163">
        <v>51089</v>
      </c>
    </row>
    <row r="40" spans="1:3" x14ac:dyDescent="0.25">
      <c r="A40" s="78">
        <v>231510</v>
      </c>
      <c r="B40" s="80">
        <v>51089</v>
      </c>
      <c r="C40" s="163">
        <v>50768</v>
      </c>
    </row>
    <row r="41" spans="1:3" x14ac:dyDescent="0.25">
      <c r="A41" s="78">
        <v>231661</v>
      </c>
      <c r="B41" s="80">
        <v>50768</v>
      </c>
      <c r="C41" s="163">
        <v>50447</v>
      </c>
    </row>
    <row r="42" spans="1:3" x14ac:dyDescent="0.25">
      <c r="A42" s="78">
        <v>231811</v>
      </c>
      <c r="B42" s="80">
        <v>50447</v>
      </c>
      <c r="C42" s="163">
        <v>50129</v>
      </c>
    </row>
    <row r="43" spans="1:3" x14ac:dyDescent="0.25">
      <c r="A43" s="78">
        <v>231962</v>
      </c>
      <c r="B43" s="80">
        <v>50129</v>
      </c>
      <c r="C43" s="163">
        <v>49812</v>
      </c>
    </row>
    <row r="44" spans="1:3" x14ac:dyDescent="0.25">
      <c r="A44" s="78">
        <v>232112</v>
      </c>
      <c r="B44" s="80">
        <v>49812</v>
      </c>
      <c r="C44" s="163">
        <v>49495</v>
      </c>
    </row>
    <row r="45" spans="1:3" x14ac:dyDescent="0.25">
      <c r="A45" s="78">
        <v>232263</v>
      </c>
      <c r="B45" s="80">
        <v>49495</v>
      </c>
      <c r="C45" s="163">
        <v>49180</v>
      </c>
    </row>
    <row r="46" spans="1:3" x14ac:dyDescent="0.25">
      <c r="A46" s="78">
        <v>232414</v>
      </c>
      <c r="B46" s="80">
        <v>49180</v>
      </c>
      <c r="C46" s="163">
        <v>48867</v>
      </c>
    </row>
    <row r="47" spans="1:3" x14ac:dyDescent="0.25">
      <c r="A47" s="78">
        <v>232564</v>
      </c>
      <c r="B47" s="80">
        <v>48867</v>
      </c>
      <c r="C47" s="163">
        <v>48555</v>
      </c>
    </row>
    <row r="48" spans="1:3" x14ac:dyDescent="0.25">
      <c r="A48" s="78">
        <v>232715</v>
      </c>
      <c r="B48" s="80">
        <v>48555</v>
      </c>
      <c r="C48" s="163">
        <v>48244</v>
      </c>
    </row>
    <row r="49" spans="1:3" x14ac:dyDescent="0.25">
      <c r="A49" s="78">
        <v>232866</v>
      </c>
      <c r="B49" s="80">
        <v>48244</v>
      </c>
      <c r="C49" s="163">
        <v>47935</v>
      </c>
    </row>
    <row r="50" spans="1:3" x14ac:dyDescent="0.25">
      <c r="A50" s="78">
        <v>233016</v>
      </c>
      <c r="B50" s="80">
        <v>47935</v>
      </c>
      <c r="C50" s="163">
        <v>47624</v>
      </c>
    </row>
    <row r="51" spans="1:3" x14ac:dyDescent="0.25">
      <c r="A51" s="78">
        <v>233167</v>
      </c>
      <c r="B51" s="80">
        <v>47624</v>
      </c>
      <c r="C51" s="163">
        <v>47317</v>
      </c>
    </row>
    <row r="52" spans="1:3" x14ac:dyDescent="0.25">
      <c r="A52" s="78">
        <v>233317</v>
      </c>
      <c r="B52" s="80">
        <v>47317</v>
      </c>
      <c r="C52" s="163">
        <v>47011</v>
      </c>
    </row>
    <row r="53" spans="1:3" x14ac:dyDescent="0.25">
      <c r="A53" s="78">
        <v>233468</v>
      </c>
      <c r="B53" s="80">
        <v>47011</v>
      </c>
      <c r="C53" s="163">
        <v>46706</v>
      </c>
    </row>
    <row r="54" spans="1:3" x14ac:dyDescent="0.25">
      <c r="A54" s="78">
        <v>233619</v>
      </c>
      <c r="B54" s="80">
        <v>46706</v>
      </c>
      <c r="C54" s="163">
        <v>46400</v>
      </c>
    </row>
    <row r="55" spans="1:3" x14ac:dyDescent="0.25">
      <c r="A55" s="78">
        <v>233769</v>
      </c>
      <c r="B55" s="80">
        <v>46400</v>
      </c>
      <c r="C55" s="163">
        <v>46097</v>
      </c>
    </row>
    <row r="56" spans="1:3" x14ac:dyDescent="0.25">
      <c r="A56" s="78">
        <v>233920</v>
      </c>
      <c r="B56" s="80">
        <v>46097</v>
      </c>
      <c r="C56" s="163">
        <v>45794</v>
      </c>
    </row>
    <row r="57" spans="1:3" x14ac:dyDescent="0.25">
      <c r="A57" s="78">
        <v>234071</v>
      </c>
      <c r="B57" s="80">
        <v>45794</v>
      </c>
      <c r="C57" s="163">
        <v>45493</v>
      </c>
    </row>
    <row r="58" spans="1:3" x14ac:dyDescent="0.25">
      <c r="A58" s="78">
        <v>234221</v>
      </c>
      <c r="B58" s="80">
        <v>45493</v>
      </c>
      <c r="C58" s="163">
        <v>45192</v>
      </c>
    </row>
    <row r="59" spans="1:3" x14ac:dyDescent="0.25">
      <c r="A59" s="78">
        <v>234372</v>
      </c>
      <c r="B59" s="80">
        <v>45192</v>
      </c>
      <c r="C59" s="163">
        <v>44892</v>
      </c>
    </row>
    <row r="60" spans="1:3" x14ac:dyDescent="0.25">
      <c r="A60" s="78">
        <v>234522</v>
      </c>
      <c r="B60" s="80">
        <v>44892</v>
      </c>
      <c r="C60" s="163">
        <v>44592</v>
      </c>
    </row>
    <row r="61" spans="1:3" x14ac:dyDescent="0.25">
      <c r="A61" s="78">
        <v>234673</v>
      </c>
      <c r="B61" s="80">
        <v>44592</v>
      </c>
      <c r="C61" s="163">
        <v>44294</v>
      </c>
    </row>
    <row r="62" spans="1:3" x14ac:dyDescent="0.25">
      <c r="A62" s="78">
        <v>234824</v>
      </c>
      <c r="B62" s="80">
        <v>44294</v>
      </c>
      <c r="C62" s="163">
        <v>43997</v>
      </c>
    </row>
    <row r="63" spans="1:3" x14ac:dyDescent="0.25">
      <c r="A63" s="78">
        <v>234974</v>
      </c>
      <c r="B63" s="80">
        <v>43997</v>
      </c>
      <c r="C63" s="163">
        <v>43701</v>
      </c>
    </row>
    <row r="64" spans="1:3" x14ac:dyDescent="0.25">
      <c r="A64" s="78">
        <v>235125</v>
      </c>
      <c r="B64" s="80">
        <v>43701</v>
      </c>
      <c r="C64" s="163">
        <v>43405</v>
      </c>
    </row>
    <row r="65" spans="1:3" x14ac:dyDescent="0.25">
      <c r="A65" s="78">
        <v>235276</v>
      </c>
      <c r="B65" s="80">
        <v>43405</v>
      </c>
      <c r="C65" s="163">
        <v>43110</v>
      </c>
    </row>
    <row r="66" spans="1:3" x14ac:dyDescent="0.25">
      <c r="A66" s="78">
        <v>235426</v>
      </c>
      <c r="B66" s="80">
        <v>43110</v>
      </c>
      <c r="C66" s="163">
        <v>42817</v>
      </c>
    </row>
    <row r="67" spans="1:3" x14ac:dyDescent="0.25">
      <c r="A67" s="78">
        <v>235577</v>
      </c>
      <c r="B67" s="80">
        <v>42817</v>
      </c>
      <c r="C67" s="163">
        <v>42523</v>
      </c>
    </row>
    <row r="68" spans="1:3" x14ac:dyDescent="0.25">
      <c r="A68" s="78">
        <v>235727</v>
      </c>
      <c r="B68" s="80">
        <v>42523</v>
      </c>
      <c r="C68" s="163">
        <v>42231</v>
      </c>
    </row>
    <row r="69" spans="1:3" x14ac:dyDescent="0.25">
      <c r="A69" s="78">
        <v>235878</v>
      </c>
      <c r="B69" s="80">
        <v>42231</v>
      </c>
      <c r="C69" s="163">
        <v>41940</v>
      </c>
    </row>
    <row r="70" spans="1:3" x14ac:dyDescent="0.25">
      <c r="A70" s="78">
        <v>236029</v>
      </c>
      <c r="B70" s="80">
        <v>41940</v>
      </c>
      <c r="C70" s="163">
        <v>41649</v>
      </c>
    </row>
    <row r="71" spans="1:3" x14ac:dyDescent="0.25">
      <c r="A71" s="78">
        <v>236179</v>
      </c>
      <c r="B71" s="80">
        <v>41649</v>
      </c>
      <c r="C71" s="163">
        <v>41358</v>
      </c>
    </row>
    <row r="72" spans="1:3" x14ac:dyDescent="0.25">
      <c r="A72" s="78">
        <v>236330</v>
      </c>
      <c r="B72" s="80">
        <v>41358</v>
      </c>
      <c r="C72" s="163">
        <v>41069</v>
      </c>
    </row>
    <row r="73" spans="1:3" x14ac:dyDescent="0.25">
      <c r="A73" s="78">
        <v>236481</v>
      </c>
      <c r="B73" s="80">
        <v>41069</v>
      </c>
      <c r="C73" s="163">
        <v>40780</v>
      </c>
    </row>
    <row r="74" spans="1:3" x14ac:dyDescent="0.25">
      <c r="A74" s="78">
        <v>236631</v>
      </c>
      <c r="B74" s="80">
        <v>40780</v>
      </c>
      <c r="C74" s="163">
        <v>40492</v>
      </c>
    </row>
    <row r="75" spans="1:3" x14ac:dyDescent="0.25">
      <c r="A75" s="78">
        <v>236782</v>
      </c>
      <c r="B75" s="80">
        <v>40492</v>
      </c>
      <c r="C75" s="163">
        <v>40205</v>
      </c>
    </row>
    <row r="76" spans="1:3" x14ac:dyDescent="0.25">
      <c r="A76" s="78">
        <v>236932</v>
      </c>
      <c r="B76" s="80">
        <v>40205</v>
      </c>
      <c r="C76" s="163">
        <v>39917</v>
      </c>
    </row>
    <row r="77" spans="1:3" x14ac:dyDescent="0.25">
      <c r="A77" s="78">
        <v>237083</v>
      </c>
      <c r="B77" s="80">
        <v>39917</v>
      </c>
      <c r="C77" s="163">
        <v>39631</v>
      </c>
    </row>
    <row r="78" spans="1:3" x14ac:dyDescent="0.25">
      <c r="A78" s="78">
        <v>237234</v>
      </c>
      <c r="B78" s="80">
        <v>39631</v>
      </c>
      <c r="C78" s="163">
        <v>39346</v>
      </c>
    </row>
    <row r="79" spans="1:3" x14ac:dyDescent="0.25">
      <c r="A79" s="78">
        <v>237384</v>
      </c>
      <c r="B79" s="80">
        <v>39346</v>
      </c>
      <c r="C79" s="163">
        <v>39061</v>
      </c>
    </row>
    <row r="80" spans="1:3" x14ac:dyDescent="0.25">
      <c r="A80" s="78">
        <v>237535</v>
      </c>
      <c r="B80" s="80">
        <v>39061</v>
      </c>
      <c r="C80" s="163">
        <v>38777</v>
      </c>
    </row>
    <row r="81" spans="1:3" x14ac:dyDescent="0.25">
      <c r="A81" s="78">
        <v>237686</v>
      </c>
      <c r="B81" s="80">
        <v>38777</v>
      </c>
      <c r="C81" s="163">
        <v>38494</v>
      </c>
    </row>
    <row r="82" spans="1:3" x14ac:dyDescent="0.25">
      <c r="A82" s="78">
        <v>237836</v>
      </c>
      <c r="B82" s="80">
        <v>38494</v>
      </c>
      <c r="C82" s="163">
        <v>38210</v>
      </c>
    </row>
    <row r="83" spans="1:3" x14ac:dyDescent="0.25">
      <c r="A83" s="78">
        <v>237987</v>
      </c>
      <c r="B83" s="80">
        <v>38210</v>
      </c>
      <c r="C83" s="163">
        <v>37929</v>
      </c>
    </row>
    <row r="84" spans="1:3" x14ac:dyDescent="0.25">
      <c r="A84" s="78">
        <v>238137</v>
      </c>
      <c r="B84" s="80">
        <v>37929</v>
      </c>
      <c r="C84" s="163">
        <v>37647</v>
      </c>
    </row>
    <row r="85" spans="1:3" x14ac:dyDescent="0.25">
      <c r="A85" s="78">
        <v>238288</v>
      </c>
      <c r="B85" s="80">
        <v>37647</v>
      </c>
      <c r="C85" s="163">
        <v>37365</v>
      </c>
    </row>
    <row r="86" spans="1:3" x14ac:dyDescent="0.25">
      <c r="A86" s="78">
        <v>238439</v>
      </c>
      <c r="B86" s="80">
        <v>37365</v>
      </c>
      <c r="C86" s="163">
        <v>37085</v>
      </c>
    </row>
    <row r="87" spans="1:3" x14ac:dyDescent="0.25">
      <c r="A87" s="78">
        <v>238589</v>
      </c>
      <c r="B87" s="80">
        <v>37085</v>
      </c>
      <c r="C87" s="163">
        <v>36805</v>
      </c>
    </row>
    <row r="88" spans="1:3" x14ac:dyDescent="0.25">
      <c r="A88" s="78">
        <v>238740</v>
      </c>
      <c r="B88" s="80">
        <v>36805</v>
      </c>
      <c r="C88" s="163">
        <v>36525</v>
      </c>
    </row>
    <row r="89" spans="1:3" x14ac:dyDescent="0.25">
      <c r="A89" s="78">
        <v>238891</v>
      </c>
      <c r="B89" s="80">
        <v>36525</v>
      </c>
      <c r="C89" s="163">
        <v>36246</v>
      </c>
    </row>
    <row r="90" spans="1:3" x14ac:dyDescent="0.25">
      <c r="A90" s="78">
        <v>239041</v>
      </c>
      <c r="B90" s="80">
        <v>36246</v>
      </c>
      <c r="C90" s="163">
        <v>35968</v>
      </c>
    </row>
    <row r="91" spans="1:3" x14ac:dyDescent="0.25">
      <c r="A91" s="78">
        <v>239192</v>
      </c>
      <c r="B91" s="80">
        <v>35968</v>
      </c>
      <c r="C91" s="163">
        <v>35690</v>
      </c>
    </row>
    <row r="92" spans="1:3" x14ac:dyDescent="0.25">
      <c r="A92" s="78">
        <v>239342</v>
      </c>
      <c r="B92" s="80">
        <v>35690</v>
      </c>
      <c r="C92" s="163">
        <v>35413</v>
      </c>
    </row>
    <row r="93" spans="1:3" x14ac:dyDescent="0.25">
      <c r="A93" s="78">
        <v>239493</v>
      </c>
      <c r="B93" s="80">
        <v>35413</v>
      </c>
      <c r="C93" s="163">
        <v>35136</v>
      </c>
    </row>
    <row r="94" spans="1:3" x14ac:dyDescent="0.25">
      <c r="A94" s="78">
        <v>239644</v>
      </c>
      <c r="B94" s="80">
        <v>35136</v>
      </c>
      <c r="C94" s="163">
        <v>34859</v>
      </c>
    </row>
    <row r="95" spans="1:3" x14ac:dyDescent="0.25">
      <c r="A95" s="78">
        <v>239794</v>
      </c>
      <c r="B95" s="80">
        <v>34859</v>
      </c>
      <c r="C95" s="163">
        <v>34583</v>
      </c>
    </row>
    <row r="96" spans="1:3" x14ac:dyDescent="0.25">
      <c r="A96" s="78">
        <v>239945</v>
      </c>
      <c r="B96" s="80">
        <v>34583</v>
      </c>
      <c r="C96" s="163">
        <v>34309</v>
      </c>
    </row>
    <row r="97" spans="1:3" x14ac:dyDescent="0.25">
      <c r="A97" s="78">
        <v>240096</v>
      </c>
      <c r="B97" s="80">
        <v>34309</v>
      </c>
      <c r="C97" s="163">
        <v>34034</v>
      </c>
    </row>
    <row r="98" spans="1:3" x14ac:dyDescent="0.25">
      <c r="A98" s="78">
        <v>240246</v>
      </c>
      <c r="B98" s="80">
        <v>34034</v>
      </c>
      <c r="C98" s="163">
        <v>33759</v>
      </c>
    </row>
    <row r="99" spans="1:3" x14ac:dyDescent="0.25">
      <c r="A99" s="78">
        <v>240397</v>
      </c>
      <c r="B99" s="80">
        <v>33759</v>
      </c>
      <c r="C99" s="163">
        <v>33485</v>
      </c>
    </row>
    <row r="100" spans="1:3" x14ac:dyDescent="0.25">
      <c r="A100" s="78">
        <v>240547</v>
      </c>
      <c r="B100" s="80">
        <v>33485</v>
      </c>
      <c r="C100" s="163">
        <v>33213</v>
      </c>
    </row>
    <row r="101" spans="1:3" x14ac:dyDescent="0.25">
      <c r="A101" s="78">
        <v>240698</v>
      </c>
      <c r="B101" s="80">
        <v>33213</v>
      </c>
      <c r="C101" s="163">
        <v>32940</v>
      </c>
    </row>
    <row r="102" spans="1:3" x14ac:dyDescent="0.25">
      <c r="A102" s="78">
        <v>240849</v>
      </c>
      <c r="B102" s="80">
        <v>32940</v>
      </c>
      <c r="C102" s="163">
        <v>32667</v>
      </c>
    </row>
    <row r="103" spans="1:3" x14ac:dyDescent="0.25">
      <c r="A103" s="78">
        <v>240999</v>
      </c>
      <c r="B103" s="80">
        <v>32667</v>
      </c>
      <c r="C103" s="163">
        <v>32395</v>
      </c>
    </row>
    <row r="104" spans="1:3" x14ac:dyDescent="0.25">
      <c r="A104" s="78">
        <v>241150</v>
      </c>
      <c r="B104" s="80">
        <v>32395</v>
      </c>
      <c r="C104" s="163">
        <v>32124</v>
      </c>
    </row>
    <row r="105" spans="1:3" x14ac:dyDescent="0.25">
      <c r="A105" s="78">
        <v>241301</v>
      </c>
      <c r="B105" s="80">
        <v>32124</v>
      </c>
      <c r="C105" s="163">
        <v>31853</v>
      </c>
    </row>
    <row r="106" spans="1:3" x14ac:dyDescent="0.25">
      <c r="A106" s="78">
        <v>241451</v>
      </c>
      <c r="B106" s="80">
        <v>31853</v>
      </c>
      <c r="C106" s="163">
        <v>31583</v>
      </c>
    </row>
    <row r="107" spans="1:3" x14ac:dyDescent="0.25">
      <c r="A107" s="78">
        <v>241602</v>
      </c>
      <c r="B107" s="80">
        <v>31583</v>
      </c>
      <c r="C107" s="163">
        <v>31312</v>
      </c>
    </row>
    <row r="108" spans="1:3" x14ac:dyDescent="0.25">
      <c r="A108" s="78">
        <v>241752</v>
      </c>
      <c r="B108" s="80">
        <v>31312</v>
      </c>
      <c r="C108" s="163">
        <v>31042</v>
      </c>
    </row>
    <row r="109" spans="1:3" x14ac:dyDescent="0.25">
      <c r="A109" s="78">
        <v>241903</v>
      </c>
      <c r="B109" s="80">
        <v>31042</v>
      </c>
      <c r="C109" s="163">
        <v>30773</v>
      </c>
    </row>
    <row r="110" spans="1:3" x14ac:dyDescent="0.25">
      <c r="A110" s="78">
        <v>242054</v>
      </c>
      <c r="B110" s="80">
        <v>30773</v>
      </c>
      <c r="C110" s="163">
        <v>30504</v>
      </c>
    </row>
    <row r="111" spans="1:3" x14ac:dyDescent="0.25">
      <c r="A111" s="78">
        <v>242204</v>
      </c>
      <c r="B111" s="80">
        <v>30504</v>
      </c>
      <c r="C111" s="163">
        <v>30236</v>
      </c>
    </row>
    <row r="112" spans="1:3" x14ac:dyDescent="0.25">
      <c r="A112" s="78">
        <v>242355</v>
      </c>
      <c r="B112" s="80">
        <v>30236</v>
      </c>
      <c r="C112" s="163">
        <v>29968</v>
      </c>
    </row>
    <row r="113" spans="1:3" x14ac:dyDescent="0.25">
      <c r="A113" s="78">
        <v>242506</v>
      </c>
      <c r="B113" s="80">
        <v>29968</v>
      </c>
      <c r="C113" s="163">
        <v>29700</v>
      </c>
    </row>
    <row r="114" spans="1:3" x14ac:dyDescent="0.25">
      <c r="A114" s="78">
        <v>242656</v>
      </c>
      <c r="B114" s="80">
        <v>29700</v>
      </c>
      <c r="C114" s="163">
        <v>29434</v>
      </c>
    </row>
    <row r="115" spans="1:3" x14ac:dyDescent="0.25">
      <c r="A115" s="78">
        <v>242807</v>
      </c>
      <c r="B115" s="80">
        <v>29434</v>
      </c>
      <c r="C115" s="163">
        <v>29167</v>
      </c>
    </row>
    <row r="116" spans="1:3" x14ac:dyDescent="0.25">
      <c r="A116" s="78">
        <v>242957</v>
      </c>
      <c r="B116" s="80">
        <v>29167</v>
      </c>
      <c r="C116" s="163">
        <v>28900</v>
      </c>
    </row>
    <row r="117" spans="1:3" x14ac:dyDescent="0.25">
      <c r="A117" s="78">
        <v>243108</v>
      </c>
      <c r="B117" s="80">
        <v>28900</v>
      </c>
      <c r="C117" s="163">
        <v>28634</v>
      </c>
    </row>
    <row r="118" spans="1:3" x14ac:dyDescent="0.25">
      <c r="A118" s="78">
        <v>243259</v>
      </c>
      <c r="B118" s="80">
        <v>28634</v>
      </c>
      <c r="C118" s="163">
        <v>28369</v>
      </c>
    </row>
    <row r="119" spans="1:3" x14ac:dyDescent="0.25">
      <c r="A119" s="78">
        <v>243409</v>
      </c>
      <c r="B119" s="80">
        <v>28369</v>
      </c>
      <c r="C119" s="163">
        <v>28104</v>
      </c>
    </row>
    <row r="120" spans="1:3" x14ac:dyDescent="0.25">
      <c r="A120" s="78">
        <v>243560</v>
      </c>
      <c r="B120" s="80">
        <v>28104</v>
      </c>
      <c r="C120" s="163">
        <v>27838</v>
      </c>
    </row>
    <row r="121" spans="1:3" x14ac:dyDescent="0.25">
      <c r="A121" s="78">
        <v>243711</v>
      </c>
      <c r="B121" s="80">
        <v>27838</v>
      </c>
      <c r="C121" s="163">
        <v>27575</v>
      </c>
    </row>
    <row r="122" spans="1:3" x14ac:dyDescent="0.25">
      <c r="A122" s="78">
        <v>243861</v>
      </c>
      <c r="B122" s="80">
        <v>27575</v>
      </c>
      <c r="C122" s="163">
        <v>27311</v>
      </c>
    </row>
    <row r="123" spans="1:3" x14ac:dyDescent="0.25">
      <c r="A123" s="78">
        <v>244012</v>
      </c>
      <c r="B123" s="80">
        <v>27311</v>
      </c>
      <c r="C123" s="163">
        <v>27048</v>
      </c>
    </row>
    <row r="124" spans="1:3" x14ac:dyDescent="0.25">
      <c r="A124" s="78">
        <v>244162</v>
      </c>
      <c r="B124" s="80">
        <v>27048</v>
      </c>
      <c r="C124" s="163">
        <v>26784</v>
      </c>
    </row>
    <row r="125" spans="1:3" x14ac:dyDescent="0.25">
      <c r="A125" s="78">
        <v>244313</v>
      </c>
      <c r="B125" s="80">
        <v>26784</v>
      </c>
      <c r="C125" s="163">
        <v>26520</v>
      </c>
    </row>
    <row r="126" spans="1:3" x14ac:dyDescent="0.25">
      <c r="A126" s="78">
        <v>244464</v>
      </c>
      <c r="B126" s="80">
        <v>26520</v>
      </c>
      <c r="C126" s="163">
        <v>26258</v>
      </c>
    </row>
    <row r="127" spans="1:3" x14ac:dyDescent="0.25">
      <c r="A127" s="78">
        <v>244614</v>
      </c>
      <c r="B127" s="80">
        <v>26258</v>
      </c>
      <c r="C127" s="163">
        <v>25996</v>
      </c>
    </row>
    <row r="128" spans="1:3" x14ac:dyDescent="0.25">
      <c r="A128" s="78">
        <v>244765</v>
      </c>
      <c r="B128" s="80">
        <v>25996</v>
      </c>
      <c r="C128" s="163">
        <v>25734</v>
      </c>
    </row>
    <row r="129" spans="1:3" x14ac:dyDescent="0.25">
      <c r="A129" s="78">
        <v>244916</v>
      </c>
      <c r="B129" s="80">
        <v>25734</v>
      </c>
      <c r="C129" s="163">
        <v>25472</v>
      </c>
    </row>
    <row r="130" spans="1:3" x14ac:dyDescent="0.25">
      <c r="A130" s="78">
        <v>245066</v>
      </c>
      <c r="B130" s="80">
        <v>25472</v>
      </c>
      <c r="C130" s="163">
        <v>25212</v>
      </c>
    </row>
    <row r="131" spans="1:3" x14ac:dyDescent="0.25">
      <c r="A131" s="78">
        <v>245217</v>
      </c>
      <c r="B131" s="80">
        <v>25212</v>
      </c>
      <c r="C131" s="163">
        <v>24951</v>
      </c>
    </row>
    <row r="132" spans="1:3" x14ac:dyDescent="0.25">
      <c r="A132" s="78">
        <v>245367</v>
      </c>
      <c r="B132" s="80">
        <v>24951</v>
      </c>
      <c r="C132" s="163">
        <v>24690</v>
      </c>
    </row>
    <row r="133" spans="1:3" x14ac:dyDescent="0.25">
      <c r="A133" s="78">
        <v>245518</v>
      </c>
      <c r="B133" s="80">
        <v>24690</v>
      </c>
      <c r="C133" s="163">
        <v>24430</v>
      </c>
    </row>
    <row r="134" spans="1:3" x14ac:dyDescent="0.25">
      <c r="A134" s="78">
        <v>245669</v>
      </c>
      <c r="B134" s="80">
        <v>24430</v>
      </c>
      <c r="C134" s="163">
        <v>24171</v>
      </c>
    </row>
    <row r="135" spans="1:3" x14ac:dyDescent="0.25">
      <c r="A135" s="78">
        <v>245819</v>
      </c>
      <c r="B135" s="80">
        <v>24171</v>
      </c>
      <c r="C135" s="163">
        <v>23912</v>
      </c>
    </row>
    <row r="136" spans="1:3" x14ac:dyDescent="0.25">
      <c r="A136" s="78">
        <v>245970</v>
      </c>
      <c r="B136" s="80">
        <v>23912</v>
      </c>
      <c r="C136" s="163">
        <v>23653</v>
      </c>
    </row>
    <row r="137" spans="1:3" x14ac:dyDescent="0.25">
      <c r="A137" s="78">
        <v>246121</v>
      </c>
      <c r="B137" s="80">
        <v>23653</v>
      </c>
      <c r="C137" s="163">
        <v>23393</v>
      </c>
    </row>
    <row r="138" spans="1:3" x14ac:dyDescent="0.25">
      <c r="A138" s="78">
        <v>246271</v>
      </c>
      <c r="B138" s="80">
        <v>23393</v>
      </c>
      <c r="C138" s="163">
        <v>23134</v>
      </c>
    </row>
    <row r="139" spans="1:3" x14ac:dyDescent="0.25">
      <c r="A139" s="78">
        <v>246422</v>
      </c>
      <c r="B139" s="80">
        <v>23134</v>
      </c>
      <c r="C139" s="163">
        <v>22877</v>
      </c>
    </row>
    <row r="140" spans="1:3" x14ac:dyDescent="0.25">
      <c r="A140" s="78">
        <v>246572</v>
      </c>
      <c r="B140" s="80">
        <v>22877</v>
      </c>
      <c r="C140" s="163">
        <v>22619</v>
      </c>
    </row>
    <row r="141" spans="1:3" x14ac:dyDescent="0.25">
      <c r="A141" s="78">
        <v>246723</v>
      </c>
      <c r="B141" s="80">
        <v>22619</v>
      </c>
      <c r="C141" s="163">
        <v>22362</v>
      </c>
    </row>
    <row r="142" spans="1:3" x14ac:dyDescent="0.25">
      <c r="A142" s="78">
        <v>246874</v>
      </c>
      <c r="B142" s="80">
        <v>22362</v>
      </c>
      <c r="C142" s="163">
        <v>22104</v>
      </c>
    </row>
    <row r="143" spans="1:3" x14ac:dyDescent="0.25">
      <c r="A143" s="78">
        <v>247024</v>
      </c>
      <c r="B143" s="80">
        <v>22104</v>
      </c>
      <c r="C143" s="163">
        <v>21848</v>
      </c>
    </row>
    <row r="144" spans="1:3" x14ac:dyDescent="0.25">
      <c r="A144" s="78">
        <v>247175</v>
      </c>
      <c r="B144" s="80">
        <v>21848</v>
      </c>
      <c r="C144" s="163">
        <v>21591</v>
      </c>
    </row>
    <row r="145" spans="1:3" x14ac:dyDescent="0.25">
      <c r="A145" s="78">
        <v>247326</v>
      </c>
      <c r="B145" s="80">
        <v>21591</v>
      </c>
      <c r="C145" s="163">
        <v>21334</v>
      </c>
    </row>
    <row r="146" spans="1:3" x14ac:dyDescent="0.25">
      <c r="A146" s="78">
        <v>247476</v>
      </c>
      <c r="B146" s="80">
        <v>21334</v>
      </c>
      <c r="C146" s="163">
        <v>21078</v>
      </c>
    </row>
    <row r="147" spans="1:3" x14ac:dyDescent="0.25">
      <c r="A147" s="78">
        <v>247627</v>
      </c>
      <c r="B147" s="80">
        <v>21078</v>
      </c>
      <c r="C147" s="163">
        <v>20822</v>
      </c>
    </row>
    <row r="148" spans="1:3" x14ac:dyDescent="0.25">
      <c r="A148" s="78">
        <v>247777</v>
      </c>
      <c r="B148" s="80">
        <v>20822</v>
      </c>
      <c r="C148" s="163">
        <v>20568</v>
      </c>
    </row>
    <row r="149" spans="1:3" x14ac:dyDescent="0.25">
      <c r="A149" s="78">
        <v>247928</v>
      </c>
      <c r="B149" s="80">
        <v>20568</v>
      </c>
      <c r="C149" s="163">
        <v>20313</v>
      </c>
    </row>
    <row r="150" spans="1:3" x14ac:dyDescent="0.25">
      <c r="A150" s="78">
        <v>248079</v>
      </c>
      <c r="B150" s="80">
        <v>20313</v>
      </c>
      <c r="C150" s="163">
        <v>20059</v>
      </c>
    </row>
    <row r="151" spans="1:3" x14ac:dyDescent="0.25">
      <c r="A151" s="78">
        <v>248229</v>
      </c>
      <c r="B151" s="80">
        <v>20059</v>
      </c>
      <c r="C151" s="163">
        <v>19804</v>
      </c>
    </row>
    <row r="152" spans="1:3" x14ac:dyDescent="0.25">
      <c r="A152" s="78">
        <v>248380</v>
      </c>
      <c r="B152" s="80">
        <v>19804</v>
      </c>
      <c r="C152" s="163">
        <v>19550</v>
      </c>
    </row>
    <row r="153" spans="1:3" x14ac:dyDescent="0.25">
      <c r="A153" s="78">
        <v>248531</v>
      </c>
      <c r="B153" s="80">
        <v>19550</v>
      </c>
      <c r="C153" s="163">
        <v>19295</v>
      </c>
    </row>
    <row r="154" spans="1:3" x14ac:dyDescent="0.25">
      <c r="A154" s="78">
        <v>248681</v>
      </c>
      <c r="B154" s="80">
        <v>19295</v>
      </c>
      <c r="C154" s="163">
        <v>19042</v>
      </c>
    </row>
    <row r="155" spans="1:3" x14ac:dyDescent="0.25">
      <c r="A155" s="78">
        <v>248832</v>
      </c>
      <c r="B155" s="80">
        <v>19042</v>
      </c>
      <c r="C155" s="163">
        <v>18789</v>
      </c>
    </row>
    <row r="156" spans="1:3" x14ac:dyDescent="0.25">
      <c r="A156" s="78">
        <v>248982</v>
      </c>
      <c r="B156" s="80">
        <v>18789</v>
      </c>
      <c r="C156" s="163">
        <v>18536</v>
      </c>
    </row>
    <row r="157" spans="1:3" x14ac:dyDescent="0.25">
      <c r="A157" s="78">
        <v>249133</v>
      </c>
      <c r="B157" s="80">
        <v>18536</v>
      </c>
      <c r="C157" s="163">
        <v>18283</v>
      </c>
    </row>
    <row r="158" spans="1:3" x14ac:dyDescent="0.25">
      <c r="A158" s="78">
        <v>249284</v>
      </c>
      <c r="B158" s="80">
        <v>18283</v>
      </c>
      <c r="C158" s="163">
        <v>18030</v>
      </c>
    </row>
    <row r="159" spans="1:3" x14ac:dyDescent="0.25">
      <c r="A159" s="78">
        <v>249434</v>
      </c>
      <c r="B159" s="80">
        <v>18030</v>
      </c>
      <c r="C159" s="163">
        <v>17778</v>
      </c>
    </row>
    <row r="160" spans="1:3" x14ac:dyDescent="0.25">
      <c r="A160" s="78">
        <v>249585</v>
      </c>
      <c r="B160" s="80">
        <v>17778</v>
      </c>
      <c r="C160" s="163">
        <v>17527</v>
      </c>
    </row>
    <row r="161" spans="1:3" x14ac:dyDescent="0.25">
      <c r="A161" s="78">
        <v>249736</v>
      </c>
      <c r="B161" s="80">
        <v>17527</v>
      </c>
      <c r="C161" s="163">
        <v>17275</v>
      </c>
    </row>
    <row r="162" spans="1:3" x14ac:dyDescent="0.25">
      <c r="A162" s="78">
        <v>249886</v>
      </c>
      <c r="B162" s="80">
        <v>17275</v>
      </c>
      <c r="C162" s="163">
        <v>17024</v>
      </c>
    </row>
    <row r="163" spans="1:3" x14ac:dyDescent="0.25">
      <c r="A163" s="78">
        <v>250037</v>
      </c>
      <c r="B163" s="80">
        <v>17024</v>
      </c>
      <c r="C163" s="163">
        <v>16772</v>
      </c>
    </row>
    <row r="164" spans="1:3" x14ac:dyDescent="0.25">
      <c r="A164" s="78">
        <v>250187</v>
      </c>
      <c r="B164" s="80">
        <v>16772</v>
      </c>
      <c r="C164" s="163">
        <v>16522</v>
      </c>
    </row>
    <row r="165" spans="1:3" x14ac:dyDescent="0.25">
      <c r="A165" s="78">
        <v>250338</v>
      </c>
      <c r="B165" s="80">
        <v>16522</v>
      </c>
      <c r="C165" s="163">
        <v>16270</v>
      </c>
    </row>
    <row r="166" spans="1:3" x14ac:dyDescent="0.25">
      <c r="A166" s="78">
        <v>250489</v>
      </c>
      <c r="B166" s="80">
        <v>16270</v>
      </c>
      <c r="C166" s="163">
        <v>16020</v>
      </c>
    </row>
    <row r="167" spans="1:3" x14ac:dyDescent="0.25">
      <c r="A167" s="78">
        <v>250639</v>
      </c>
      <c r="B167" s="80">
        <v>16020</v>
      </c>
      <c r="C167" s="163">
        <v>15770</v>
      </c>
    </row>
    <row r="168" spans="1:3" x14ac:dyDescent="0.25">
      <c r="A168" s="78">
        <v>250790</v>
      </c>
      <c r="B168" s="80">
        <v>15770</v>
      </c>
      <c r="C168" s="163">
        <v>15520</v>
      </c>
    </row>
    <row r="169" spans="1:3" x14ac:dyDescent="0.25">
      <c r="A169" s="78">
        <v>250941</v>
      </c>
      <c r="B169" s="80">
        <v>15520</v>
      </c>
      <c r="C169" s="163">
        <v>15272</v>
      </c>
    </row>
    <row r="170" spans="1:3" x14ac:dyDescent="0.25">
      <c r="A170" s="78">
        <v>251091</v>
      </c>
      <c r="B170" s="80">
        <v>15272</v>
      </c>
      <c r="C170" s="163">
        <v>15022</v>
      </c>
    </row>
    <row r="171" spans="1:3" x14ac:dyDescent="0.25">
      <c r="A171" s="78">
        <v>251242</v>
      </c>
      <c r="B171" s="80">
        <v>15022</v>
      </c>
      <c r="C171" s="163">
        <v>14773</v>
      </c>
    </row>
    <row r="172" spans="1:3" x14ac:dyDescent="0.25">
      <c r="A172" s="78">
        <v>251392</v>
      </c>
      <c r="B172" s="80">
        <v>14773</v>
      </c>
      <c r="C172" s="163">
        <v>14525</v>
      </c>
    </row>
    <row r="173" spans="1:3" x14ac:dyDescent="0.25">
      <c r="A173" s="78">
        <v>251543</v>
      </c>
      <c r="B173" s="80">
        <v>14525</v>
      </c>
      <c r="C173" s="163">
        <v>14276</v>
      </c>
    </row>
    <row r="174" spans="1:3" x14ac:dyDescent="0.25">
      <c r="A174" s="78">
        <v>251694</v>
      </c>
      <c r="B174" s="80">
        <v>14276</v>
      </c>
      <c r="C174" s="163">
        <v>14028</v>
      </c>
    </row>
    <row r="175" spans="1:3" x14ac:dyDescent="0.25">
      <c r="A175" s="78">
        <v>251844</v>
      </c>
      <c r="B175" s="80">
        <v>14028</v>
      </c>
      <c r="C175" s="163">
        <v>13779</v>
      </c>
    </row>
    <row r="176" spans="1:3" x14ac:dyDescent="0.25">
      <c r="A176" s="78">
        <v>251995</v>
      </c>
      <c r="B176" s="80">
        <v>13779</v>
      </c>
      <c r="C176" s="163">
        <v>13531</v>
      </c>
    </row>
    <row r="177" spans="1:3" x14ac:dyDescent="0.25">
      <c r="A177" s="78">
        <v>252145</v>
      </c>
      <c r="B177" s="80">
        <v>13531</v>
      </c>
      <c r="C177" s="163">
        <v>13284</v>
      </c>
    </row>
    <row r="178" spans="1:3" x14ac:dyDescent="0.25">
      <c r="A178" s="78">
        <v>252296</v>
      </c>
      <c r="B178" s="80">
        <v>13284</v>
      </c>
      <c r="C178" s="163">
        <v>13037</v>
      </c>
    </row>
    <row r="179" spans="1:3" x14ac:dyDescent="0.25">
      <c r="A179" s="78">
        <v>252447</v>
      </c>
      <c r="B179" s="80">
        <v>13037</v>
      </c>
      <c r="C179" s="163">
        <v>12790</v>
      </c>
    </row>
    <row r="180" spans="1:3" x14ac:dyDescent="0.25">
      <c r="A180" s="78">
        <v>252597</v>
      </c>
      <c r="B180" s="80">
        <v>12790</v>
      </c>
      <c r="C180" s="163">
        <v>12543</v>
      </c>
    </row>
    <row r="181" spans="1:3" x14ac:dyDescent="0.25">
      <c r="A181" s="78">
        <v>252748</v>
      </c>
      <c r="B181" s="80">
        <v>12543</v>
      </c>
      <c r="C181" s="163">
        <v>12295</v>
      </c>
    </row>
    <row r="182" spans="1:3" x14ac:dyDescent="0.25">
      <c r="A182" s="78">
        <v>252899</v>
      </c>
      <c r="B182" s="80">
        <v>12295</v>
      </c>
      <c r="C182" s="163">
        <v>12050</v>
      </c>
    </row>
    <row r="183" spans="1:3" x14ac:dyDescent="0.25">
      <c r="A183" s="78">
        <v>253049</v>
      </c>
      <c r="B183" s="80">
        <v>12050</v>
      </c>
      <c r="C183" s="163">
        <v>11803</v>
      </c>
    </row>
    <row r="184" spans="1:3" x14ac:dyDescent="0.25">
      <c r="A184" s="78">
        <v>253200</v>
      </c>
      <c r="B184" s="80">
        <v>11803</v>
      </c>
      <c r="C184" s="163">
        <v>11557</v>
      </c>
    </row>
    <row r="185" spans="1:3" x14ac:dyDescent="0.25">
      <c r="A185" s="78">
        <v>253350</v>
      </c>
      <c r="B185" s="80">
        <v>11557</v>
      </c>
      <c r="C185" s="163">
        <v>11312</v>
      </c>
    </row>
    <row r="186" spans="1:3" x14ac:dyDescent="0.25">
      <c r="A186" s="78">
        <v>253501</v>
      </c>
      <c r="B186" s="80">
        <v>11312</v>
      </c>
      <c r="C186" s="163">
        <v>11066</v>
      </c>
    </row>
    <row r="187" spans="1:3" x14ac:dyDescent="0.25">
      <c r="A187" s="78">
        <v>253652</v>
      </c>
      <c r="B187" s="80">
        <v>11066</v>
      </c>
      <c r="C187" s="163">
        <v>10821</v>
      </c>
    </row>
    <row r="188" spans="1:3" x14ac:dyDescent="0.25">
      <c r="A188" s="78">
        <v>253802</v>
      </c>
      <c r="B188" s="80">
        <v>10821</v>
      </c>
      <c r="C188" s="163">
        <v>10577</v>
      </c>
    </row>
    <row r="189" spans="1:3" x14ac:dyDescent="0.25">
      <c r="A189" s="78">
        <v>253953</v>
      </c>
      <c r="B189" s="80">
        <v>10577</v>
      </c>
      <c r="C189" s="163">
        <v>10331</v>
      </c>
    </row>
    <row r="190" spans="1:3" x14ac:dyDescent="0.25">
      <c r="A190" s="78">
        <v>254104</v>
      </c>
      <c r="B190" s="80">
        <v>10331</v>
      </c>
      <c r="C190" s="163">
        <v>10087</v>
      </c>
    </row>
    <row r="191" spans="1:3" x14ac:dyDescent="0.25">
      <c r="A191" s="78">
        <v>254254</v>
      </c>
      <c r="B191" s="80">
        <v>10087</v>
      </c>
      <c r="C191" s="163">
        <v>9842</v>
      </c>
    </row>
    <row r="192" spans="1:3" x14ac:dyDescent="0.25">
      <c r="A192" s="78">
        <v>254405</v>
      </c>
      <c r="B192" s="80">
        <v>9842</v>
      </c>
      <c r="C192" s="163">
        <v>9598</v>
      </c>
    </row>
    <row r="193" spans="1:3" x14ac:dyDescent="0.25">
      <c r="A193" s="78">
        <v>254555</v>
      </c>
      <c r="B193" s="80">
        <v>9598</v>
      </c>
      <c r="C193" s="163">
        <v>9354</v>
      </c>
    </row>
    <row r="194" spans="1:3" x14ac:dyDescent="0.25">
      <c r="A194" s="78">
        <v>254706</v>
      </c>
      <c r="B194" s="80">
        <v>9354</v>
      </c>
      <c r="C194" s="163">
        <v>9111</v>
      </c>
    </row>
    <row r="195" spans="1:3" x14ac:dyDescent="0.25">
      <c r="A195" s="78">
        <v>254857</v>
      </c>
      <c r="B195" s="80">
        <v>9111</v>
      </c>
      <c r="C195" s="163">
        <v>8867</v>
      </c>
    </row>
    <row r="196" spans="1:3" x14ac:dyDescent="0.25">
      <c r="A196" s="78">
        <v>255007</v>
      </c>
      <c r="B196" s="80">
        <v>8867</v>
      </c>
      <c r="C196" s="163">
        <v>8625</v>
      </c>
    </row>
    <row r="197" spans="1:3" x14ac:dyDescent="0.25">
      <c r="A197" s="78">
        <v>255158</v>
      </c>
      <c r="B197" s="80">
        <v>8625</v>
      </c>
      <c r="C197" s="163">
        <v>8381</v>
      </c>
    </row>
    <row r="198" spans="1:3" x14ac:dyDescent="0.25">
      <c r="A198" s="78">
        <v>255309</v>
      </c>
      <c r="B198" s="80">
        <v>8381</v>
      </c>
      <c r="C198" s="163">
        <v>8138</v>
      </c>
    </row>
    <row r="199" spans="1:3" x14ac:dyDescent="0.25">
      <c r="A199" s="78">
        <v>255459</v>
      </c>
      <c r="B199" s="80">
        <v>8138</v>
      </c>
      <c r="C199" s="163">
        <v>7896</v>
      </c>
    </row>
    <row r="200" spans="1:3" x14ac:dyDescent="0.25">
      <c r="A200" s="78">
        <v>255610</v>
      </c>
      <c r="B200" s="80">
        <v>7896</v>
      </c>
      <c r="C200" s="163">
        <v>7653</v>
      </c>
    </row>
    <row r="201" spans="1:3" x14ac:dyDescent="0.25">
      <c r="A201" s="78">
        <v>255760</v>
      </c>
      <c r="B201" s="80">
        <v>7653</v>
      </c>
      <c r="C201" s="163">
        <v>7411</v>
      </c>
    </row>
    <row r="202" spans="1:3" x14ac:dyDescent="0.25">
      <c r="A202" s="78">
        <v>255911</v>
      </c>
      <c r="B202" s="80">
        <v>7411</v>
      </c>
      <c r="C202" s="163">
        <v>7170</v>
      </c>
    </row>
    <row r="203" spans="1:3" x14ac:dyDescent="0.25">
      <c r="A203" s="78">
        <v>256062</v>
      </c>
      <c r="B203" s="80">
        <v>7170</v>
      </c>
      <c r="C203" s="163">
        <v>6927</v>
      </c>
    </row>
    <row r="204" spans="1:3" x14ac:dyDescent="0.25">
      <c r="A204" s="78">
        <v>256212</v>
      </c>
      <c r="B204" s="80">
        <v>6927</v>
      </c>
      <c r="C204" s="163">
        <v>6686</v>
      </c>
    </row>
    <row r="205" spans="1:3" x14ac:dyDescent="0.25">
      <c r="A205" s="78">
        <v>256363</v>
      </c>
      <c r="B205" s="80">
        <v>6686</v>
      </c>
      <c r="C205" s="163">
        <v>6444</v>
      </c>
    </row>
    <row r="206" spans="1:3" x14ac:dyDescent="0.25">
      <c r="A206" s="78">
        <v>256514</v>
      </c>
      <c r="B206" s="80">
        <v>6444</v>
      </c>
      <c r="C206" s="163">
        <v>6203</v>
      </c>
    </row>
    <row r="207" spans="1:3" x14ac:dyDescent="0.25">
      <c r="A207" s="78">
        <v>256664</v>
      </c>
      <c r="B207" s="80">
        <v>6203</v>
      </c>
      <c r="C207" s="163">
        <v>5962</v>
      </c>
    </row>
    <row r="208" spans="1:3" x14ac:dyDescent="0.25">
      <c r="A208" s="78">
        <v>256815</v>
      </c>
      <c r="B208" s="80">
        <v>5962</v>
      </c>
      <c r="C208" s="163">
        <v>5721</v>
      </c>
    </row>
    <row r="209" spans="1:3" x14ac:dyDescent="0.25">
      <c r="A209" s="78">
        <v>256965</v>
      </c>
      <c r="B209" s="80">
        <v>5721</v>
      </c>
      <c r="C209" s="163">
        <v>5481</v>
      </c>
    </row>
    <row r="210" spans="1:3" x14ac:dyDescent="0.25">
      <c r="A210" s="78">
        <v>257116</v>
      </c>
      <c r="B210" s="80">
        <v>5481</v>
      </c>
      <c r="C210" s="163">
        <v>5240</v>
      </c>
    </row>
    <row r="211" spans="1:3" x14ac:dyDescent="0.25">
      <c r="A211" s="78">
        <v>257267</v>
      </c>
      <c r="B211" s="80">
        <v>5240</v>
      </c>
      <c r="C211" s="163">
        <v>5001</v>
      </c>
    </row>
    <row r="212" spans="1:3" x14ac:dyDescent="0.25">
      <c r="A212" s="78">
        <v>257417</v>
      </c>
      <c r="B212" s="80">
        <v>5001</v>
      </c>
      <c r="C212" s="163">
        <v>4760</v>
      </c>
    </row>
    <row r="213" spans="1:3" x14ac:dyDescent="0.25">
      <c r="A213" s="78">
        <v>257568</v>
      </c>
      <c r="B213" s="80">
        <v>4760</v>
      </c>
      <c r="C213" s="163">
        <v>4520</v>
      </c>
    </row>
    <row r="214" spans="1:3" x14ac:dyDescent="0.25">
      <c r="A214" s="78">
        <v>257719</v>
      </c>
      <c r="B214" s="80">
        <v>4520</v>
      </c>
      <c r="C214" s="163">
        <v>4281</v>
      </c>
    </row>
    <row r="215" spans="1:3" x14ac:dyDescent="0.25">
      <c r="A215" s="78">
        <v>257869</v>
      </c>
      <c r="B215" s="80">
        <v>4281</v>
      </c>
      <c r="C215" s="163">
        <v>4041</v>
      </c>
    </row>
    <row r="216" spans="1:3" x14ac:dyDescent="0.25">
      <c r="A216" s="78">
        <v>258020</v>
      </c>
      <c r="B216" s="80">
        <v>4041</v>
      </c>
      <c r="C216" s="163">
        <v>3802</v>
      </c>
    </row>
    <row r="217" spans="1:3" x14ac:dyDescent="0.25">
      <c r="A217" s="78">
        <v>258170</v>
      </c>
      <c r="B217" s="80">
        <v>3802</v>
      </c>
      <c r="C217" s="163">
        <v>3564</v>
      </c>
    </row>
    <row r="218" spans="1:3" x14ac:dyDescent="0.25">
      <c r="A218" s="78">
        <v>258321</v>
      </c>
      <c r="B218" s="80">
        <v>3564</v>
      </c>
      <c r="C218" s="163">
        <v>3324</v>
      </c>
    </row>
    <row r="219" spans="1:3" x14ac:dyDescent="0.25">
      <c r="A219" s="78">
        <v>258472</v>
      </c>
      <c r="B219" s="80">
        <v>3324</v>
      </c>
      <c r="C219" s="163">
        <v>3086</v>
      </c>
    </row>
    <row r="220" spans="1:3" x14ac:dyDescent="0.25">
      <c r="A220" s="78">
        <v>258622</v>
      </c>
      <c r="B220" s="80">
        <v>3086</v>
      </c>
      <c r="C220" s="163">
        <v>2847</v>
      </c>
    </row>
    <row r="221" spans="1:3" x14ac:dyDescent="0.25">
      <c r="A221" s="78">
        <v>258773</v>
      </c>
      <c r="B221" s="80">
        <v>2847</v>
      </c>
      <c r="C221" s="163">
        <v>2609</v>
      </c>
    </row>
    <row r="222" spans="1:3" x14ac:dyDescent="0.25">
      <c r="A222" s="78">
        <v>258924</v>
      </c>
      <c r="B222" s="80">
        <v>2609</v>
      </c>
      <c r="C222" s="163">
        <v>2371</v>
      </c>
    </row>
    <row r="223" spans="1:3" x14ac:dyDescent="0.25">
      <c r="A223" s="78">
        <v>259074</v>
      </c>
      <c r="B223" s="80">
        <v>2371</v>
      </c>
      <c r="C223" s="163">
        <v>2133</v>
      </c>
    </row>
    <row r="224" spans="1:3" x14ac:dyDescent="0.25">
      <c r="A224" s="78">
        <v>259225</v>
      </c>
      <c r="B224" s="80">
        <v>2133</v>
      </c>
      <c r="C224" s="163">
        <v>1895</v>
      </c>
    </row>
    <row r="225" spans="1:3" x14ac:dyDescent="0.25">
      <c r="A225" s="78">
        <v>259375</v>
      </c>
      <c r="B225" s="80">
        <v>1895</v>
      </c>
      <c r="C225" s="163">
        <v>1658</v>
      </c>
    </row>
    <row r="226" spans="1:3" x14ac:dyDescent="0.25">
      <c r="A226" s="78">
        <v>259526</v>
      </c>
      <c r="B226" s="80">
        <v>1658</v>
      </c>
      <c r="C226" s="163">
        <v>1420</v>
      </c>
    </row>
    <row r="227" spans="1:3" x14ac:dyDescent="0.25">
      <c r="A227" s="78">
        <v>259677</v>
      </c>
      <c r="B227" s="80">
        <v>1420</v>
      </c>
      <c r="C227" s="163">
        <v>1184</v>
      </c>
    </row>
    <row r="228" spans="1:3" x14ac:dyDescent="0.25">
      <c r="A228" s="78">
        <v>259827</v>
      </c>
      <c r="B228" s="80">
        <v>1184</v>
      </c>
      <c r="C228" s="163">
        <v>946</v>
      </c>
    </row>
    <row r="229" spans="1:3" x14ac:dyDescent="0.25">
      <c r="A229" s="78">
        <v>259978</v>
      </c>
      <c r="B229" s="80">
        <v>946</v>
      </c>
      <c r="C229" s="163">
        <v>709</v>
      </c>
    </row>
    <row r="230" spans="1:3" x14ac:dyDescent="0.25">
      <c r="A230" s="78">
        <v>260129</v>
      </c>
      <c r="B230" s="80">
        <v>709</v>
      </c>
      <c r="C230" s="163">
        <v>473</v>
      </c>
    </row>
    <row r="231" spans="1:3" x14ac:dyDescent="0.25">
      <c r="A231" s="78">
        <v>260279</v>
      </c>
      <c r="B231" s="80">
        <v>473</v>
      </c>
      <c r="C231" s="163">
        <v>236</v>
      </c>
    </row>
    <row r="232" spans="1:3" x14ac:dyDescent="0.25">
      <c r="A232" s="78">
        <v>260430</v>
      </c>
      <c r="B232" s="80">
        <v>236</v>
      </c>
      <c r="C232" s="163">
        <v>0</v>
      </c>
    </row>
    <row r="233" spans="1:3" x14ac:dyDescent="0.25">
      <c r="A233" s="78">
        <v>260580</v>
      </c>
      <c r="B233" s="80">
        <v>0</v>
      </c>
    </row>
    <row r="234" spans="1:3" s="82" customFormat="1" x14ac:dyDescent="0.25">
      <c r="A234"/>
      <c r="B234"/>
      <c r="C234" s="164"/>
    </row>
    <row r="235" spans="1:3" s="82" customFormat="1" x14ac:dyDescent="0.25">
      <c r="A235"/>
      <c r="B235"/>
      <c r="C235" s="164"/>
    </row>
    <row r="236" spans="1:3" s="82" customFormat="1" x14ac:dyDescent="0.25">
      <c r="A236"/>
      <c r="B236"/>
      <c r="C236" s="164"/>
    </row>
    <row r="237" spans="1:3" s="82" customFormat="1" x14ac:dyDescent="0.25">
      <c r="A237"/>
      <c r="B237"/>
      <c r="C237" s="164"/>
    </row>
    <row r="238" spans="1:3" s="82" customFormat="1" x14ac:dyDescent="0.25">
      <c r="A238"/>
      <c r="B238"/>
      <c r="C238" s="164"/>
    </row>
    <row r="239" spans="1:3" s="82" customFormat="1" x14ac:dyDescent="0.25">
      <c r="A239"/>
      <c r="B239"/>
      <c r="C239" s="164"/>
    </row>
    <row r="240" spans="1:3" s="82" customFormat="1" x14ac:dyDescent="0.25">
      <c r="A240"/>
      <c r="B240"/>
      <c r="C240" s="164"/>
    </row>
    <row r="241" spans="1:3" s="82" customFormat="1" x14ac:dyDescent="0.25">
      <c r="A241"/>
      <c r="B241"/>
      <c r="C241" s="164"/>
    </row>
    <row r="242" spans="1:3" s="82" customFormat="1" x14ac:dyDescent="0.25">
      <c r="A242"/>
      <c r="B242"/>
      <c r="C242" s="164"/>
    </row>
    <row r="243" spans="1:3" s="82" customFormat="1" x14ac:dyDescent="0.25">
      <c r="A243"/>
      <c r="B243"/>
      <c r="C243" s="164"/>
    </row>
    <row r="244" spans="1:3" s="82" customFormat="1" x14ac:dyDescent="0.25">
      <c r="A244"/>
      <c r="B244"/>
      <c r="C244" s="164"/>
    </row>
    <row r="245" spans="1:3" s="82" customFormat="1" x14ac:dyDescent="0.25">
      <c r="A245"/>
      <c r="B245"/>
      <c r="C245" s="164"/>
    </row>
    <row r="246" spans="1:3" s="82" customFormat="1" x14ac:dyDescent="0.25">
      <c r="A246"/>
      <c r="B246"/>
      <c r="C246" s="164"/>
    </row>
    <row r="247" spans="1:3" s="82" customFormat="1" x14ac:dyDescent="0.25">
      <c r="A247"/>
      <c r="B247"/>
      <c r="C247" s="164"/>
    </row>
    <row r="248" spans="1:3" s="82" customFormat="1" x14ac:dyDescent="0.25">
      <c r="A248"/>
      <c r="B248"/>
      <c r="C248" s="164"/>
    </row>
    <row r="249" spans="1:3" s="82" customFormat="1" x14ac:dyDescent="0.25">
      <c r="A249"/>
      <c r="B249"/>
      <c r="C249" s="164"/>
    </row>
    <row r="250" spans="1:3" s="82" customFormat="1" x14ac:dyDescent="0.25">
      <c r="A250"/>
      <c r="B250"/>
      <c r="C250" s="164"/>
    </row>
    <row r="251" spans="1:3" s="82" customFormat="1" x14ac:dyDescent="0.25">
      <c r="A251"/>
      <c r="B251"/>
      <c r="C251" s="164"/>
    </row>
    <row r="252" spans="1:3" s="82" customFormat="1" x14ac:dyDescent="0.25">
      <c r="A252"/>
      <c r="B252"/>
      <c r="C252" s="164"/>
    </row>
    <row r="253" spans="1:3" s="82" customFormat="1" x14ac:dyDescent="0.25">
      <c r="A253"/>
      <c r="B253"/>
      <c r="C253" s="164"/>
    </row>
    <row r="254" spans="1:3" s="82" customFormat="1" x14ac:dyDescent="0.25">
      <c r="A254"/>
      <c r="B254"/>
      <c r="C254" s="164"/>
    </row>
    <row r="255" spans="1:3" s="82" customFormat="1" x14ac:dyDescent="0.25">
      <c r="A255"/>
      <c r="B255"/>
      <c r="C255" s="164"/>
    </row>
    <row r="256" spans="1:3" s="82" customFormat="1" x14ac:dyDescent="0.25">
      <c r="A256"/>
      <c r="B256"/>
      <c r="C256" s="164"/>
    </row>
    <row r="257" spans="1:3" s="82" customFormat="1" x14ac:dyDescent="0.25">
      <c r="A257"/>
      <c r="B257"/>
      <c r="C257" s="164"/>
    </row>
    <row r="258" spans="1:3" s="82" customFormat="1" x14ac:dyDescent="0.25">
      <c r="A258"/>
      <c r="B258"/>
      <c r="C258" s="164"/>
    </row>
    <row r="259" spans="1:3" s="82" customFormat="1" x14ac:dyDescent="0.25">
      <c r="A259"/>
      <c r="B259"/>
      <c r="C259" s="164"/>
    </row>
    <row r="260" spans="1:3" s="82" customFormat="1" x14ac:dyDescent="0.25">
      <c r="A260"/>
      <c r="B260"/>
      <c r="C260" s="164"/>
    </row>
    <row r="261" spans="1:3" s="82" customFormat="1" x14ac:dyDescent="0.25">
      <c r="A261"/>
      <c r="B261"/>
      <c r="C261" s="164"/>
    </row>
    <row r="262" spans="1:3" s="82" customFormat="1" x14ac:dyDescent="0.25">
      <c r="A262"/>
      <c r="B262"/>
      <c r="C262" s="164"/>
    </row>
    <row r="263" spans="1:3" s="82" customFormat="1" x14ac:dyDescent="0.25">
      <c r="A263"/>
      <c r="B263"/>
      <c r="C263" s="164"/>
    </row>
    <row r="264" spans="1:3" s="82" customFormat="1" x14ac:dyDescent="0.25">
      <c r="A264"/>
      <c r="B264"/>
      <c r="C264" s="164"/>
    </row>
    <row r="265" spans="1:3" s="82" customFormat="1" x14ac:dyDescent="0.25">
      <c r="A265"/>
      <c r="B265"/>
      <c r="C265" s="164"/>
    </row>
    <row r="266" spans="1:3" s="82" customFormat="1" x14ac:dyDescent="0.25">
      <c r="A266"/>
      <c r="B266"/>
      <c r="C266" s="164"/>
    </row>
    <row r="267" spans="1:3" s="82" customFormat="1" x14ac:dyDescent="0.25">
      <c r="A267"/>
      <c r="B267"/>
      <c r="C267" s="164"/>
    </row>
    <row r="268" spans="1:3" s="82" customFormat="1" x14ac:dyDescent="0.25">
      <c r="A268"/>
      <c r="B268"/>
      <c r="C268" s="164"/>
    </row>
    <row r="269" spans="1:3" s="82" customFormat="1" x14ac:dyDescent="0.25">
      <c r="A269"/>
      <c r="B269"/>
      <c r="C269" s="164"/>
    </row>
    <row r="270" spans="1:3" s="82" customFormat="1" x14ac:dyDescent="0.25">
      <c r="A270"/>
      <c r="B270"/>
      <c r="C270" s="164"/>
    </row>
    <row r="271" spans="1:3" s="82" customFormat="1" x14ac:dyDescent="0.25">
      <c r="A271"/>
      <c r="B271"/>
      <c r="C271" s="164"/>
    </row>
    <row r="272" spans="1:3" s="82" customFormat="1" x14ac:dyDescent="0.25">
      <c r="A272"/>
      <c r="B272"/>
      <c r="C272" s="164"/>
    </row>
    <row r="273" spans="1:3" s="82" customFormat="1" x14ac:dyDescent="0.25">
      <c r="A273"/>
      <c r="B273"/>
      <c r="C273" s="164"/>
    </row>
    <row r="274" spans="1:3" s="82" customFormat="1" x14ac:dyDescent="0.25">
      <c r="A274"/>
      <c r="B274"/>
      <c r="C274" s="164"/>
    </row>
    <row r="275" spans="1:3" s="82" customFormat="1" x14ac:dyDescent="0.25">
      <c r="A275"/>
      <c r="B275"/>
      <c r="C275" s="164"/>
    </row>
    <row r="276" spans="1:3" s="82" customFormat="1" x14ac:dyDescent="0.25">
      <c r="A276"/>
      <c r="B276"/>
      <c r="C276" s="164"/>
    </row>
    <row r="277" spans="1:3" s="82" customFormat="1" x14ac:dyDescent="0.25">
      <c r="A277"/>
      <c r="B277"/>
      <c r="C277" s="164"/>
    </row>
    <row r="278" spans="1:3" s="82" customFormat="1" x14ac:dyDescent="0.25">
      <c r="A278"/>
      <c r="B278"/>
      <c r="C278" s="164"/>
    </row>
    <row r="279" spans="1:3" s="82" customFormat="1" x14ac:dyDescent="0.25">
      <c r="A279"/>
      <c r="B279"/>
      <c r="C279" s="164"/>
    </row>
    <row r="280" spans="1:3" s="82" customFormat="1" x14ac:dyDescent="0.25">
      <c r="A280"/>
      <c r="B280"/>
      <c r="C280" s="164"/>
    </row>
    <row r="281" spans="1:3" s="82" customFormat="1" x14ac:dyDescent="0.25">
      <c r="A281"/>
      <c r="B281"/>
      <c r="C281" s="164"/>
    </row>
    <row r="282" spans="1:3" s="82" customFormat="1" x14ac:dyDescent="0.25">
      <c r="A282"/>
      <c r="B282"/>
      <c r="C282" s="164"/>
    </row>
  </sheetData>
  <sheetProtection algorithmName="SHA-512" hashValue="hb3D11sO14w6ln27d57T1zIRqMqrvuA9uGQ8EOxybBchCtI67DCZVhu7wYlB4VynvrgHLtpyNAy9m/hZPkJlkA==" saltValue="Uu/Tgby5FR/p8WYXjx5kS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r T Y U o H 2 I D u k A A A A 9 Q A A A B I A H A B D b 2 5 m a W c v U G F j a 2 F n Z S 5 4 b W w g o h g A K K A U A A A A A A A A A A A A A A A A A A A A A A A A A A A A h Y + x D o I w G I R f h X S n L c V B y U + J c Z X E a G J c m 1 K h E Y q h x f J u D j 6 S r y B G U T f H + + 4 u u b t f b 5 A N T R 1 c V G d 1 a 1 I U Y Y o C Z W R b a F O m q H f H c I 4 y D h s h T 6 J U w R g 2 N h m s T l H l 3 D k h x H u P f Y z b r i S M 0 o g c 8 v V O V q o R o T b W C S M V + r S K / y 3 E Y f 8 a w x l e x H j G G K Z A J g a 5 N l + f j X O f 7 g + E V V + 7 v l N c 2 X C 5 B T J J I O 8 L / A F Q S w M E F A A C A A g A y r T Y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q 0 2 F I o i k e 4 D g A A A B E A A A A T A B w A R m 9 y b X V s Y X M v U 2 V j d G l v b j E u b S C i G A A o o B Q A A A A A A A A A A A A A A A A A A A A A A A A A A A A r T k 0 u y c z P U w i G 0 I b W A F B L A Q I t A B Q A A g A I A M q 0 2 F K B 9 i A 7 p A A A A P U A A A A S A A A A A A A A A A A A A A A A A A A A A A B D b 2 5 m a W c v U G F j a 2 F n Z S 5 4 b W x Q S w E C L Q A U A A I A C A D K t N h S D 8 r p q 6 Q A A A D p A A A A E w A A A A A A A A A A A A A A A A D w A A A A W 0 N v b n R l b n R f V H l w Z X N d L n h t b F B L A Q I t A B Q A A g A I A M q 0 2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a A X G J e t a T Z u I q o 4 p 0 M S n A A A A A A I A A A A A A B B m A A A A A Q A A I A A A A L h b O 3 k H e 7 Q M 1 h S c t 2 G Z h y u 9 M D Z e s 0 B E 8 Z l 8 L T M a X I M P A A A A A A 6 A A A A A A g A A I A A A A L g Q 3 a J j c W F y k x Y U J J 5 M 6 a q S T 1 z S M z Y P h y a 1 c n s P y j 2 e U A A A A D Q T 5 j R W 9 G W j n n 0 I 7 + / j G / o v q R e X 0 t r 0 / r w z z A d V G 4 r i i 9 8 T e P 5 N b I K 6 y K 5 I 7 N l T C L 9 + i B j J 7 I Z O o Q 0 K w k F P U g L R h M v P g M 2 s Z V n o I z O i U Q 6 J Q A A A A E M S f u e + C P b Q B a i e / c Q T g b R m p H J Y J R B A K 4 c P 3 S N 8 D l e o 1 G I s u x S U z O H x p C + l f m t k V a c p S 5 J 0 A r C C j q V k p p x K Z E s = < / D a t a M a s h u p > 
</file>

<file path=customXml/itemProps1.xml><?xml version="1.0" encoding="utf-8"?>
<ds:datastoreItem xmlns:ds="http://schemas.openxmlformats.org/officeDocument/2006/customXml" ds:itemID="{52A36932-A8C8-4BEF-A09D-60E3620197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de Liquidación</vt:lpstr>
      <vt:lpstr>Escala Impuesto 2022 mensual</vt:lpstr>
      <vt:lpstr>AnexoIV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Paula Andrea Ataria</cp:lastModifiedBy>
  <cp:revision/>
  <cp:lastPrinted>2022-04-04T15:28:07Z</cp:lastPrinted>
  <dcterms:created xsi:type="dcterms:W3CDTF">2021-06-15T23:45:15Z</dcterms:created>
  <dcterms:modified xsi:type="dcterms:W3CDTF">2022-04-04T20:13:36Z</dcterms:modified>
  <cp:category/>
  <cp:contentStatus/>
</cp:coreProperties>
</file>