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TEC\FEE\COMPARTIDA-SHARED\40-Revistas y otros WEB\Proyecto AXI\"/>
    </mc:Choice>
  </mc:AlternateContent>
  <bookViews>
    <workbookView xWindow="0" yWindow="0" windowWidth="20430" windowHeight="7560" tabRatio="921"/>
  </bookViews>
  <sheets>
    <sheet name="INDICE" sheetId="46" r:id="rId1"/>
    <sheet name="IPC" sheetId="44" r:id="rId2"/>
    <sheet name="Unipersonal" sheetId="43" r:id="rId3"/>
    <sheet name="AXI" sheetId="42" r:id="rId4"/>
    <sheet name="AxII Estatico" sheetId="39" r:id="rId5"/>
    <sheet name="AxII Dinámico" sheetId="45" r:id="rId6"/>
  </sheets>
  <definedNames>
    <definedName name="_xlnm.Print_Area" localSheetId="3">AXI!$A$7:$G$25</definedName>
    <definedName name="_xlnm.Print_Area" localSheetId="5">'AxII Dinámico'!$A$7:$P$29</definedName>
    <definedName name="_xlnm.Print_Area" localSheetId="4">'AxII Estatico'!$A$7:$F$45</definedName>
    <definedName name="_xlnm.Print_Area" localSheetId="1">IPC!$A$7:$H$27</definedName>
    <definedName name="_xlnm.Print_Area" localSheetId="2">Unipersonal!$A$7:$G$62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39" l="1"/>
  <c r="E15" i="39" l="1"/>
  <c r="E23" i="39" l="1"/>
  <c r="O2" i="44"/>
  <c r="I2" i="45" s="1"/>
  <c r="B17" i="42"/>
  <c r="B18" i="42"/>
  <c r="B19" i="42"/>
  <c r="B20" i="42"/>
  <c r="B21" i="42"/>
  <c r="B14" i="44"/>
  <c r="E29" i="39"/>
  <c r="E26" i="39"/>
  <c r="E22" i="39"/>
  <c r="E17" i="39"/>
  <c r="B22" i="42"/>
  <c r="B15" i="42"/>
  <c r="B14" i="42"/>
  <c r="B13" i="42"/>
  <c r="O23" i="45"/>
  <c r="O22" i="45"/>
  <c r="O21" i="45"/>
  <c r="O19" i="45"/>
  <c r="O18" i="45"/>
  <c r="O17" i="45"/>
  <c r="O16" i="45"/>
  <c r="O15" i="45"/>
  <c r="O14" i="45"/>
  <c r="O12" i="45"/>
  <c r="N24" i="45"/>
  <c r="M24" i="45"/>
  <c r="L24" i="45"/>
  <c r="K24" i="45"/>
  <c r="J24" i="45"/>
  <c r="I24" i="45"/>
  <c r="H24" i="45"/>
  <c r="G24" i="45"/>
  <c r="F24" i="45"/>
  <c r="E24" i="45"/>
  <c r="D24" i="45"/>
  <c r="C24" i="45"/>
  <c r="B26" i="45"/>
  <c r="B41" i="39"/>
  <c r="N10" i="45"/>
  <c r="M10" i="45"/>
  <c r="L10" i="45"/>
  <c r="K10" i="45"/>
  <c r="J10" i="45"/>
  <c r="I10" i="45"/>
  <c r="H10" i="45"/>
  <c r="G10" i="45"/>
  <c r="F10" i="45"/>
  <c r="E10" i="45"/>
  <c r="D10" i="45"/>
  <c r="C10" i="45"/>
  <c r="B40" i="39"/>
  <c r="D39" i="39"/>
  <c r="B43" i="39"/>
  <c r="B42" i="39"/>
  <c r="B11" i="39"/>
  <c r="B33" i="39"/>
  <c r="E18" i="39"/>
  <c r="E21" i="39"/>
  <c r="B25" i="44"/>
  <c r="B24" i="44"/>
  <c r="B23" i="44"/>
  <c r="B22" i="44"/>
  <c r="B21" i="44"/>
  <c r="B20" i="44"/>
  <c r="J25" i="45" s="1"/>
  <c r="B19" i="44"/>
  <c r="B18" i="44"/>
  <c r="B17" i="44"/>
  <c r="B16" i="44"/>
  <c r="B15" i="44"/>
  <c r="B13" i="44"/>
  <c r="D42" i="39" s="1"/>
  <c r="F52" i="43"/>
  <c r="E34" i="39" s="1"/>
  <c r="E37" i="39"/>
  <c r="E16" i="39"/>
  <c r="E20" i="39"/>
  <c r="B34" i="39"/>
  <c r="B12" i="39"/>
  <c r="C52" i="43"/>
  <c r="E12" i="39" s="1"/>
  <c r="E38" i="39" l="1"/>
  <c r="I25" i="45"/>
  <c r="E25" i="45"/>
  <c r="D25" i="45"/>
  <c r="G25" i="45"/>
  <c r="C25" i="45"/>
  <c r="O24" i="45"/>
  <c r="M25" i="45"/>
  <c r="L25" i="45"/>
  <c r="E32" i="39"/>
  <c r="E39" i="39" s="1"/>
  <c r="B44" i="39" s="1"/>
  <c r="H25" i="45"/>
  <c r="J2" i="43"/>
  <c r="D41" i="39"/>
  <c r="N25" i="45"/>
  <c r="L2" i="42"/>
  <c r="K25" i="45"/>
  <c r="H2" i="39"/>
  <c r="F25" i="45"/>
  <c r="N26" i="45" l="1"/>
  <c r="N27" i="45" s="1"/>
  <c r="N28" i="45" s="1"/>
  <c r="K26" i="45"/>
  <c r="K27" i="45" s="1"/>
  <c r="K28" i="45" s="1"/>
  <c r="D26" i="45"/>
  <c r="D27" i="45" s="1"/>
  <c r="D28" i="45" s="1"/>
  <c r="I26" i="45"/>
  <c r="I27" i="45" s="1"/>
  <c r="I28" i="45" s="1"/>
  <c r="M26" i="45"/>
  <c r="M27" i="45" s="1"/>
  <c r="M28" i="45" s="1"/>
  <c r="L26" i="45"/>
  <c r="L27" i="45" s="1"/>
  <c r="L28" i="45" s="1"/>
  <c r="F26" i="45"/>
  <c r="F27" i="45" s="1"/>
  <c r="F28" i="45" s="1"/>
  <c r="C26" i="45"/>
  <c r="C27" i="45" s="1"/>
  <c r="C28" i="45" s="1"/>
  <c r="E26" i="45"/>
  <c r="E27" i="45" s="1"/>
  <c r="E28" i="45" s="1"/>
  <c r="G26" i="45"/>
  <c r="G27" i="45" s="1"/>
  <c r="G28" i="45" s="1"/>
  <c r="H26" i="45"/>
  <c r="H27" i="45" s="1"/>
  <c r="H28" i="45" s="1"/>
  <c r="D43" i="39"/>
  <c r="E44" i="39" s="1"/>
  <c r="D13" i="42" s="1"/>
  <c r="J26" i="45"/>
  <c r="J27" i="45" s="1"/>
  <c r="J28" i="45" s="1"/>
  <c r="O28" i="45" l="1"/>
  <c r="E13" i="42"/>
  <c r="D14" i="42" l="1"/>
  <c r="E14" i="42" s="1"/>
  <c r="D15" i="42" l="1"/>
  <c r="E15" i="42" s="1"/>
  <c r="D18" i="42" l="1"/>
  <c r="D22" i="42"/>
  <c r="D17" i="42"/>
  <c r="D21" i="42"/>
  <c r="D20" i="42"/>
  <c r="D19" i="42"/>
  <c r="D23" i="42" l="1"/>
</calcChain>
</file>

<file path=xl/sharedStrings.xml><?xml version="1.0" encoding="utf-8"?>
<sst xmlns="http://schemas.openxmlformats.org/spreadsheetml/2006/main" count="163" uniqueCount="141">
  <si>
    <t>Concepto</t>
  </si>
  <si>
    <t xml:space="preserve"> - ACTIVO NO COMPUTABLE</t>
  </si>
  <si>
    <t>ACTIVO COMPUTABLE</t>
  </si>
  <si>
    <t>PASIVO COMPUTABLE</t>
  </si>
  <si>
    <t>Importe</t>
  </si>
  <si>
    <t>Referencia</t>
  </si>
  <si>
    <t>Unipersonal</t>
  </si>
  <si>
    <t>DETERMINACIÓN DEL RESULTADO POR EXPOSICIÓN A LA INFLACIÓN</t>
  </si>
  <si>
    <t>Diferimiento Ley 27.541</t>
  </si>
  <si>
    <t>Ctrl</t>
  </si>
  <si>
    <t>AXI</t>
  </si>
  <si>
    <t>Ref:</t>
  </si>
  <si>
    <t>AXI E</t>
  </si>
  <si>
    <t>AXI D</t>
  </si>
  <si>
    <t>(A)</t>
  </si>
  <si>
    <t>a AXI</t>
  </si>
  <si>
    <t>Empresa Unipersonal</t>
  </si>
  <si>
    <t>Caja y Bancos</t>
  </si>
  <si>
    <t>Pesos</t>
  </si>
  <si>
    <t>Moneda extranjera</t>
  </si>
  <si>
    <t>Banco</t>
  </si>
  <si>
    <t>Valores a depositar</t>
  </si>
  <si>
    <t>Inversiones</t>
  </si>
  <si>
    <t>Plazo fijo</t>
  </si>
  <si>
    <t>FCI</t>
  </si>
  <si>
    <t>Créditos</t>
  </si>
  <si>
    <t>Deudores por ventas</t>
  </si>
  <si>
    <t>Bienes de cambio</t>
  </si>
  <si>
    <t>ACTIVO IMPOSITIVO</t>
  </si>
  <si>
    <t>PASIVO IMPOSITIVO</t>
  </si>
  <si>
    <t>Deudas comerciales y prestamos</t>
  </si>
  <si>
    <t>Proveedores</t>
  </si>
  <si>
    <t>Prestamos bancarios</t>
  </si>
  <si>
    <t>Remuneraciones y Cargas sociales</t>
  </si>
  <si>
    <t>Sueldos a pagar</t>
  </si>
  <si>
    <t>Contribuciones a pagar</t>
  </si>
  <si>
    <t>Aportes a pagar</t>
  </si>
  <si>
    <t>ART</t>
  </si>
  <si>
    <t>Gratificaciones</t>
  </si>
  <si>
    <t>Cargas fiscales</t>
  </si>
  <si>
    <t>Ingresos brutos a pagar</t>
  </si>
  <si>
    <t>Retenciones a pagar</t>
  </si>
  <si>
    <t>Otras deudas</t>
  </si>
  <si>
    <t>Depósito en garantía</t>
  </si>
  <si>
    <t>Balance impositivo correspondiente al año anterior que se liquida</t>
  </si>
  <si>
    <t>Totales</t>
  </si>
  <si>
    <t>Bienes de Uso</t>
  </si>
  <si>
    <t>Previsiones admitidas IG</t>
  </si>
  <si>
    <t>Cuenta particular dueño</t>
  </si>
  <si>
    <t xml:space="preserve"> - PASIVO NO COMPUTABLE</t>
  </si>
  <si>
    <t>(B)</t>
  </si>
  <si>
    <t>IPC</t>
  </si>
  <si>
    <t>Otros</t>
  </si>
  <si>
    <t>Mercaderia de reventa</t>
  </si>
  <si>
    <t>Señas o anticipos que congelan precio</t>
  </si>
  <si>
    <t>Inversiones en el exterior (*)</t>
  </si>
  <si>
    <t>Notas:</t>
  </si>
  <si>
    <t>(*)Inversiones que no originen resulados de Fuente Argentina ni se encuentren afectadas a actividades que generen</t>
  </si>
  <si>
    <t>resultados de Fuente Argentina</t>
  </si>
  <si>
    <t>Acciones, cuotas o part. soc.</t>
  </si>
  <si>
    <t>Otros bienes</t>
  </si>
  <si>
    <t>Bienes en el exterior</t>
  </si>
  <si>
    <t>Bienes inmateriales</t>
  </si>
  <si>
    <t>Provisiones admitidas IG</t>
  </si>
  <si>
    <t>Previsiones y provisiones</t>
  </si>
  <si>
    <t xml:space="preserve">Periodo </t>
  </si>
  <si>
    <t>Periodo Fiscal</t>
  </si>
  <si>
    <t>Art. 106 Inc. a) Pto. 1</t>
  </si>
  <si>
    <t>Art. 106 Inc. a) Pto. 2</t>
  </si>
  <si>
    <t>Art. 106 Inc. a) Pto. 3</t>
  </si>
  <si>
    <t>Art. 106 Inc. a) Pto. 4</t>
  </si>
  <si>
    <t>Art. 106 Inc. a) Pto. 5</t>
  </si>
  <si>
    <t>Art. 106 Inc. a) Pto. 6</t>
  </si>
  <si>
    <t>Art. 106 Inc. a) Pto. 7</t>
  </si>
  <si>
    <t>Art. 106 Inc. a) Pto. 8</t>
  </si>
  <si>
    <t>Art. 106 Inc. a) Pto. 9</t>
  </si>
  <si>
    <t>Art. 106 Inc. a) Pto. 10</t>
  </si>
  <si>
    <t>Art. 106 Inc. a) Pto. 11</t>
  </si>
  <si>
    <t>Art. 106 Inc. a) Pto. 12</t>
  </si>
  <si>
    <t>Art. 106 Inc. a) Pto. 13</t>
  </si>
  <si>
    <t>Art. 106 Inc. a) Pto. 14</t>
  </si>
  <si>
    <t>En el caso de empresas locales de capital extranjero, los saldos deudores de personas del extranjero que participen directa o indirectamente en el capital, control o dirección, y provengan de operaciones que no puedan reputarse como operaciones entre partes independientes.</t>
  </si>
  <si>
    <t>Art. 106 Inc. a) Pto. 15</t>
  </si>
  <si>
    <t>Gastos de constitución, organización y/o reorganización de empresas.</t>
  </si>
  <si>
    <t>Art. 106 Inc. a) Pto. 16</t>
  </si>
  <si>
    <t>Anticipos , retenciones y pagos a cuenta de impuestos y gastos no deducibles activados.</t>
  </si>
  <si>
    <t>Materiales para obras en construcción mencionadas en el punto 1.</t>
  </si>
  <si>
    <t>Bienes muebles en curso de elaboración con destino al activo fijo.</t>
  </si>
  <si>
    <t>Bienes muebles amortizables.</t>
  </si>
  <si>
    <t>Inmuebles y obras en curso sobre inmuebles, excepto los que tengan el carácter de bienes de cambio.</t>
  </si>
  <si>
    <t>Bienes Inmateriales.</t>
  </si>
  <si>
    <t>En las explotaciones forestales, las existencias de madera cortada o en pie.</t>
  </si>
  <si>
    <t>Acciones, Cuotas y participaciones sociales, FCI.</t>
  </si>
  <si>
    <t>Inversiones en el exterior que no originen resultados de Fuente Argentina.</t>
  </si>
  <si>
    <t>Bienes Muebles no amortizables- Excepto Títulos valores y B de cambio.</t>
  </si>
  <si>
    <t>Anticipos que congelen precio de compra de bienes 1 a 9.</t>
  </si>
  <si>
    <t>Aportes y anticipos a cuenta de futura integración de capital.</t>
  </si>
  <si>
    <t>Saldos pendientes de integración por parte de accionistas.</t>
  </si>
  <si>
    <t>Saldos deudores del titular, dueño o socios, que provengan de integraciones pendientes o de operaciones efectuadas en condiciones distintas a las de mercado.</t>
  </si>
  <si>
    <t>Deudas no admitidas por la Ley del Impuesto a las Ganancias</t>
  </si>
  <si>
    <t>CAPITAL AL INICIO EXPUESTO A LA INFLACION</t>
  </si>
  <si>
    <t>Ajuste por inflación estático</t>
  </si>
  <si>
    <t>Ref.:</t>
  </si>
  <si>
    <t>Valuación impositiva al inicio de bienes comprendidos en los puntos 1 a 7 enajenados o retirados por el dueño, en el periodo fiscal que se liquida</t>
  </si>
  <si>
    <t>Valuación impositiva al inicio de bienes de cambio afectados como bienes de uso, durante el periodo fiscal que se liquida</t>
  </si>
  <si>
    <t>Saldo acreedor de la cuenta particular del titular de la explotación unipersonal</t>
  </si>
  <si>
    <t>Ajuste por inflación dinamico</t>
  </si>
  <si>
    <t>Periodo / Concepto</t>
  </si>
  <si>
    <t>Retiros realizados por el titular</t>
  </si>
  <si>
    <t>Altas realizadas durante el periodo que se liquida, en tanto permanezcan al cierre de:</t>
  </si>
  <si>
    <t>Bienes de Uso.</t>
  </si>
  <si>
    <t>Acciones, cuotas, participaciones societarias y/o FCI</t>
  </si>
  <si>
    <t>Bienes Muebles no amortizables - Excepto Títulos valores y Bienes de cambio.</t>
  </si>
  <si>
    <t>Anticipos que congelen precio de compra de los bienes mencionados anteriormente</t>
  </si>
  <si>
    <t>Ajuste dinamico positivo</t>
  </si>
  <si>
    <t>Ajuste dinamico negativo</t>
  </si>
  <si>
    <t>Los fondos o bienes no comprendidos en los puntos 1 a 7, 9 y 10 del inciso a), cuando se conviertan en inversiones en el exterior, o se destinen a las mismas.</t>
  </si>
  <si>
    <t>Aportes realizados durante el ejercicio</t>
  </si>
  <si>
    <t>Inversiones en el exterior, salvo que se trate de bienes de la naturaleza de los comprendidos en los puntos 1 a 7, 9 y 10 del inciso a).</t>
  </si>
  <si>
    <t>Costo impositivo computable en los casos de enajenación y/o retiro de los bienes muebles no amortizables- Excepto Títulos valores y Bienes de cambio.</t>
  </si>
  <si>
    <t>Índice de Precios al Consumidor Nivel General - Mes de movimiento</t>
  </si>
  <si>
    <t>Variacion IPC</t>
  </si>
  <si>
    <t>Ajuste dinamico positivo (negativo)</t>
  </si>
  <si>
    <t>Importe total de movimientos por mes</t>
  </si>
  <si>
    <t>AxI E</t>
  </si>
  <si>
    <t xml:space="preserve"> AxI D</t>
  </si>
  <si>
    <t>Resultado</t>
  </si>
  <si>
    <t>Materiales para Obras</t>
  </si>
  <si>
    <t>Bienes muebles amortizables</t>
  </si>
  <si>
    <t>Bienes muebles en curso de elab.</t>
  </si>
  <si>
    <t>Anticipos, retenciones y pagos a cuenta de imp. no deducibles (**)</t>
  </si>
  <si>
    <t>Anticipos, retenciones y pagos a cuenta de imp. deducibles</t>
  </si>
  <si>
    <t>(****) Excepto Titulos Valores y Bienes de Cambio</t>
  </si>
  <si>
    <t>Bienes muebles no amortizables (****)</t>
  </si>
  <si>
    <t>(***) Que no sean bienes de cambio</t>
  </si>
  <si>
    <t>Inmuebles y obras sobre inmuebles (***)</t>
  </si>
  <si>
    <t>(**) Excepdo los que exedan el impuesto determinado. Estos se cargan en "Otros"</t>
  </si>
  <si>
    <t>Índice de Precios General al Consumidor - IPC</t>
  </si>
  <si>
    <t>Dra. Gabriela Russo</t>
  </si>
  <si>
    <t>Dra. Miriam Roldán</t>
  </si>
  <si>
    <t>Dr. Rodrigo Campillay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</si>
</sst>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-* #,##0.0000\ _€_-;\-* #,##0.0000\ _€_-;_-* &quot;-&quot;??\ _€_-;_-@_-"/>
    <numFmt numFmtId="168" formatCode="0.0000"/>
    <numFmt numFmtId="169" formatCode="_-* #,##0.00_)\ ;* \(#,##0.00\)_-;_-* &quot;-&quot;??_-;_-@_-"/>
    <numFmt numFmtId="170" formatCode="mmm\ \-\ yyyy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 applyNumberFormat="0" applyFill="0" applyProtection="0">
      <alignment horizontal="center" vertical="center"/>
    </xf>
    <xf numFmtId="0" fontId="3" fillId="0" borderId="0" applyNumberFormat="0" applyFill="0" applyProtection="0">
      <alignment horizontal="center" vertical="center"/>
    </xf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90">
    <xf numFmtId="0" fontId="0" fillId="0" borderId="0" xfId="0"/>
    <xf numFmtId="0" fontId="4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165" fontId="2" fillId="0" borderId="0" xfId="6" applyFont="1"/>
    <xf numFmtId="165" fontId="3" fillId="0" borderId="0" xfId="6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69" fontId="0" fillId="2" borderId="4" xfId="0" applyNumberFormat="1" applyFill="1" applyBorder="1" applyAlignment="1" applyProtection="1">
      <alignment vertical="center"/>
      <protection locked="0"/>
    </xf>
    <xf numFmtId="169" fontId="0" fillId="2" borderId="5" xfId="0" applyNumberFormat="1" applyFill="1" applyBorder="1" applyAlignment="1" applyProtection="1">
      <alignment vertical="center"/>
      <protection locked="0"/>
    </xf>
    <xf numFmtId="169" fontId="0" fillId="2" borderId="6" xfId="0" applyNumberFormat="1" applyFill="1" applyBorder="1" applyAlignment="1" applyProtection="1">
      <alignment vertical="center"/>
      <protection locked="0"/>
    </xf>
    <xf numFmtId="169" fontId="0" fillId="2" borderId="3" xfId="0" applyNumberForma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69" fontId="0" fillId="0" borderId="8" xfId="0" applyNumberFormat="1" applyBorder="1" applyAlignment="1" applyProtection="1">
      <alignment vertical="center"/>
      <protection locked="0"/>
    </xf>
    <xf numFmtId="169" fontId="0" fillId="0" borderId="9" xfId="0" applyNumberFormat="1" applyBorder="1" applyAlignment="1" applyProtection="1">
      <alignment vertical="center"/>
      <protection locked="0"/>
    </xf>
    <xf numFmtId="169" fontId="0" fillId="0" borderId="10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9" fontId="0" fillId="0" borderId="4" xfId="0" applyNumberFormat="1" applyBorder="1" applyAlignment="1" applyProtection="1">
      <alignment vertical="center"/>
      <protection locked="0"/>
    </xf>
    <xf numFmtId="169" fontId="0" fillId="0" borderId="5" xfId="0" applyNumberFormat="1" applyBorder="1" applyAlignment="1" applyProtection="1">
      <alignment vertical="center"/>
      <protection locked="0"/>
    </xf>
    <xf numFmtId="169" fontId="0" fillId="0" borderId="6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 indent="2"/>
      <protection locked="0"/>
    </xf>
    <xf numFmtId="0" fontId="0" fillId="0" borderId="11" xfId="0" applyBorder="1" applyAlignment="1" applyProtection="1">
      <alignment vertical="center" wrapText="1"/>
      <protection locked="0"/>
    </xf>
    <xf numFmtId="169" fontId="0" fillId="0" borderId="12" xfId="0" applyNumberFormat="1" applyBorder="1" applyAlignment="1" applyProtection="1">
      <alignment vertical="center"/>
      <protection locked="0"/>
    </xf>
    <xf numFmtId="169" fontId="0" fillId="0" borderId="13" xfId="0" applyNumberFormat="1" applyBorder="1" applyAlignment="1" applyProtection="1">
      <alignment vertical="center"/>
      <protection locked="0"/>
    </xf>
    <xf numFmtId="169" fontId="0" fillId="0" borderId="14" xfId="0" applyNumberForma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69" fontId="0" fillId="2" borderId="16" xfId="0" applyNumberFormat="1" applyFill="1" applyBorder="1" applyAlignment="1" applyProtection="1">
      <alignment vertical="center"/>
      <protection locked="0"/>
    </xf>
    <xf numFmtId="169" fontId="0" fillId="2" borderId="17" xfId="0" applyNumberFormat="1" applyFill="1" applyBorder="1" applyAlignment="1" applyProtection="1">
      <alignment vertical="center"/>
      <protection locked="0"/>
    </xf>
    <xf numFmtId="169" fontId="0" fillId="2" borderId="18" xfId="0" applyNumberFormat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169" fontId="0" fillId="0" borderId="7" xfId="0" applyNumberFormat="1" applyBorder="1" applyAlignment="1" applyProtection="1">
      <alignment vertical="center"/>
    </xf>
    <xf numFmtId="169" fontId="0" fillId="0" borderId="3" xfId="0" applyNumberFormat="1" applyBorder="1" applyAlignment="1" applyProtection="1">
      <alignment vertical="center"/>
    </xf>
    <xf numFmtId="169" fontId="0" fillId="0" borderId="11" xfId="0" applyNumberFormat="1" applyBorder="1" applyAlignment="1" applyProtection="1">
      <alignment vertical="center"/>
    </xf>
    <xf numFmtId="169" fontId="0" fillId="2" borderId="15" xfId="0" applyNumberFormat="1" applyFill="1" applyBorder="1" applyAlignment="1" applyProtection="1">
      <alignment vertical="center"/>
    </xf>
    <xf numFmtId="169" fontId="4" fillId="0" borderId="19" xfId="0" applyNumberFormat="1" applyFont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2" borderId="19" xfId="0" applyFill="1" applyBorder="1" applyAlignment="1" applyProtection="1">
      <alignment vertical="center"/>
    </xf>
    <xf numFmtId="169" fontId="4" fillId="3" borderId="20" xfId="0" applyNumberFormat="1" applyFont="1" applyFill="1" applyBorder="1" applyAlignment="1" applyProtection="1">
      <alignment horizontal="center" vertical="center"/>
    </xf>
    <xf numFmtId="169" fontId="4" fillId="0" borderId="21" xfId="0" applyNumberFormat="1" applyFont="1" applyBorder="1" applyAlignment="1" applyProtection="1">
      <alignment vertical="center"/>
    </xf>
    <xf numFmtId="169" fontId="4" fillId="0" borderId="22" xfId="0" applyNumberFormat="1" applyFont="1" applyBorder="1" applyAlignment="1" applyProtection="1">
      <alignment vertical="center"/>
    </xf>
    <xf numFmtId="169" fontId="4" fillId="0" borderId="23" xfId="0" applyNumberFormat="1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167" fontId="2" fillId="0" borderId="21" xfId="3" applyNumberFormat="1" applyFont="1" applyBorder="1" applyAlignment="1" applyProtection="1">
      <alignment horizontal="center" vertical="center"/>
    </xf>
    <xf numFmtId="167" fontId="2" fillId="0" borderId="22" xfId="3" applyNumberFormat="1" applyFont="1" applyBorder="1" applyAlignment="1" applyProtection="1">
      <alignment horizontal="center" vertical="center"/>
    </xf>
    <xf numFmtId="167" fontId="2" fillId="0" borderId="23" xfId="3" applyNumberFormat="1" applyFont="1" applyBorder="1" applyAlignment="1" applyProtection="1">
      <alignment horizontal="center" vertical="center"/>
    </xf>
    <xf numFmtId="169" fontId="4" fillId="3" borderId="24" xfId="0" applyNumberFormat="1" applyFont="1" applyFill="1" applyBorder="1" applyAlignment="1" applyProtection="1">
      <alignment horizontal="center" vertical="center"/>
    </xf>
    <xf numFmtId="169" fontId="4" fillId="3" borderId="25" xfId="0" applyNumberFormat="1" applyFont="1" applyFill="1" applyBorder="1" applyAlignment="1" applyProtection="1">
      <alignment horizontal="center" vertical="center"/>
    </xf>
    <xf numFmtId="169" fontId="4" fillId="3" borderId="26" xfId="0" applyNumberFormat="1" applyFont="1" applyFill="1" applyBorder="1" applyAlignment="1" applyProtection="1">
      <alignment horizontal="center" vertical="center"/>
    </xf>
    <xf numFmtId="17" fontId="4" fillId="3" borderId="27" xfId="0" applyNumberFormat="1" applyFont="1" applyFill="1" applyBorder="1" applyAlignment="1" applyProtection="1">
      <alignment horizontal="center" vertical="center"/>
    </xf>
    <xf numFmtId="17" fontId="4" fillId="3" borderId="28" xfId="0" applyNumberFormat="1" applyFont="1" applyFill="1" applyBorder="1" applyAlignment="1" applyProtection="1">
      <alignment horizontal="center" vertical="center"/>
    </xf>
    <xf numFmtId="17" fontId="4" fillId="3" borderId="29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65" fontId="3" fillId="0" borderId="0" xfId="6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168" fontId="0" fillId="0" borderId="0" xfId="0" applyNumberFormat="1" applyFont="1" applyAlignment="1" applyProtection="1">
      <alignment horizontal="center" vertical="center"/>
      <protection locked="0"/>
    </xf>
    <xf numFmtId="170" fontId="0" fillId="0" borderId="0" xfId="0" applyNumberFormat="1" applyFont="1" applyAlignment="1" applyProtection="1">
      <alignment horizontal="center" vertical="center"/>
    </xf>
    <xf numFmtId="169" fontId="2" fillId="0" borderId="0" xfId="6" applyNumberFormat="1" applyFont="1"/>
    <xf numFmtId="169" fontId="4" fillId="0" borderId="1" xfId="6" applyNumberFormat="1" applyFont="1" applyBorder="1"/>
    <xf numFmtId="0" fontId="0" fillId="0" borderId="0" xfId="0" applyBorder="1" applyProtection="1"/>
    <xf numFmtId="0" fontId="3" fillId="0" borderId="0" xfId="1" applyProtection="1">
      <alignment horizontal="center" vertical="center"/>
    </xf>
    <xf numFmtId="0" fontId="0" fillId="0" borderId="35" xfId="0" applyNumberFormat="1" applyFont="1" applyBorder="1" applyAlignment="1" applyProtection="1">
      <alignment horizontal="center" vertical="center"/>
    </xf>
    <xf numFmtId="0" fontId="0" fillId="2" borderId="35" xfId="0" applyFont="1" applyFill="1" applyBorder="1" applyAlignment="1" applyProtection="1">
      <alignment vertical="center"/>
    </xf>
    <xf numFmtId="0" fontId="0" fillId="0" borderId="3" xfId="0" applyNumberFormat="1" applyFont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vertical="center"/>
    </xf>
    <xf numFmtId="0" fontId="4" fillId="0" borderId="19" xfId="0" applyNumberFormat="1" applyFont="1" applyBorder="1" applyAlignment="1" applyProtection="1">
      <alignment horizontal="center" vertical="center"/>
    </xf>
    <xf numFmtId="0" fontId="0" fillId="2" borderId="19" xfId="0" applyFont="1" applyFill="1" applyBorder="1" applyAlignment="1" applyProtection="1">
      <alignment vertical="center"/>
    </xf>
    <xf numFmtId="169" fontId="4" fillId="3" borderId="2" xfId="0" applyNumberFormat="1" applyFont="1" applyFill="1" applyBorder="1" applyAlignment="1" applyProtection="1">
      <alignment vertical="center"/>
    </xf>
    <xf numFmtId="0" fontId="0" fillId="0" borderId="0" xfId="0" applyBorder="1" applyProtection="1">
      <protection locked="0"/>
    </xf>
    <xf numFmtId="169" fontId="0" fillId="0" borderId="0" xfId="0" applyNumberFormat="1" applyBorder="1" applyProtection="1">
      <protection locked="0"/>
    </xf>
    <xf numFmtId="169" fontId="0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9" fontId="4" fillId="3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169" fontId="10" fillId="0" borderId="35" xfId="6" applyNumberFormat="1" applyFont="1" applyBorder="1" applyAlignment="1" applyProtection="1">
      <alignment vertical="center"/>
      <protection locked="0"/>
    </xf>
    <xf numFmtId="169" fontId="2" fillId="0" borderId="3" xfId="6" applyNumberFormat="1" applyFont="1" applyBorder="1" applyAlignment="1" applyProtection="1">
      <alignment vertical="center"/>
      <protection locked="0"/>
    </xf>
    <xf numFmtId="0" fontId="0" fillId="0" borderId="34" xfId="0" applyFont="1" applyBorder="1" applyAlignment="1" applyProtection="1">
      <alignment vertical="center" wrapText="1"/>
      <protection locked="0"/>
    </xf>
    <xf numFmtId="0" fontId="0" fillId="0" borderId="42" xfId="0" applyFont="1" applyBorder="1" applyAlignment="1" applyProtection="1">
      <alignment vertical="center" wrapText="1"/>
      <protection locked="0"/>
    </xf>
    <xf numFmtId="0" fontId="3" fillId="0" borderId="45" xfId="0" applyFont="1" applyBorder="1" applyAlignment="1" applyProtection="1">
      <alignment vertical="center"/>
      <protection locked="0"/>
    </xf>
    <xf numFmtId="0" fontId="3" fillId="0" borderId="34" xfId="0" applyFont="1" applyBorder="1" applyAlignment="1" applyProtection="1">
      <alignment vertical="center"/>
      <protection locked="0"/>
    </xf>
    <xf numFmtId="169" fontId="4" fillId="0" borderId="46" xfId="6" applyNumberFormat="1" applyFont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169" fontId="2" fillId="0" borderId="42" xfId="6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8" xfId="0" applyFont="1" applyBorder="1" applyAlignment="1" applyProtection="1">
      <alignment vertical="center"/>
      <protection locked="0"/>
    </xf>
    <xf numFmtId="169" fontId="2" fillId="0" borderId="44" xfId="6" applyNumberFormat="1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169" fontId="4" fillId="0" borderId="50" xfId="6" applyNumberFormat="1" applyFont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169" fontId="4" fillId="3" borderId="4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Protection="1"/>
    <xf numFmtId="164" fontId="2" fillId="0" borderId="0" xfId="3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7" fillId="0" borderId="0" xfId="0" applyFont="1" applyProtection="1"/>
    <xf numFmtId="0" fontId="3" fillId="0" borderId="0" xfId="0" applyFont="1" applyAlignment="1" applyProtection="1">
      <alignment horizontal="center"/>
    </xf>
    <xf numFmtId="0" fontId="12" fillId="3" borderId="2" xfId="0" applyFont="1" applyFill="1" applyBorder="1" applyAlignment="1" applyProtection="1">
      <alignment horizontal="center"/>
    </xf>
    <xf numFmtId="164" fontId="12" fillId="3" borderId="2" xfId="3" applyFont="1" applyFill="1" applyBorder="1" applyAlignment="1" applyProtection="1">
      <alignment horizontal="center"/>
    </xf>
    <xf numFmtId="0" fontId="0" fillId="0" borderId="3" xfId="0" applyBorder="1" applyProtection="1"/>
    <xf numFmtId="0" fontId="3" fillId="0" borderId="3" xfId="1" applyBorder="1" applyProtection="1">
      <alignment horizontal="center" vertical="center"/>
    </xf>
    <xf numFmtId="169" fontId="2" fillId="0" borderId="3" xfId="3" applyNumberFormat="1" applyFont="1" applyBorder="1" applyProtection="1"/>
    <xf numFmtId="0" fontId="3" fillId="0" borderId="3" xfId="0" applyFont="1" applyBorder="1" applyAlignment="1" applyProtection="1">
      <alignment horizontal="center"/>
    </xf>
    <xf numFmtId="0" fontId="4" fillId="0" borderId="19" xfId="0" applyFont="1" applyBorder="1" applyProtection="1"/>
    <xf numFmtId="169" fontId="4" fillId="0" borderId="19" xfId="3" applyNumberFormat="1" applyFont="1" applyBorder="1" applyProtection="1"/>
    <xf numFmtId="0" fontId="3" fillId="0" borderId="19" xfId="0" applyFont="1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169" fontId="2" fillId="0" borderId="35" xfId="8" applyNumberFormat="1" applyFont="1" applyBorder="1" applyProtection="1"/>
    <xf numFmtId="0" fontId="0" fillId="0" borderId="35" xfId="0" applyBorder="1" applyProtection="1"/>
    <xf numFmtId="0" fontId="0" fillId="0" borderId="3" xfId="0" applyBorder="1" applyAlignment="1" applyProtection="1">
      <alignment horizontal="center"/>
    </xf>
    <xf numFmtId="169" fontId="2" fillId="0" borderId="3" xfId="8" applyNumberFormat="1" applyFont="1" applyBorder="1" applyAlignment="1" applyProtection="1">
      <alignment horizontal="right"/>
    </xf>
    <xf numFmtId="169" fontId="2" fillId="0" borderId="3" xfId="8" applyNumberFormat="1" applyFont="1" applyBorder="1" applyProtection="1"/>
    <xf numFmtId="0" fontId="0" fillId="0" borderId="20" xfId="0" applyBorder="1" applyAlignment="1" applyProtection="1">
      <alignment horizontal="center"/>
    </xf>
    <xf numFmtId="169" fontId="2" fillId="0" borderId="20" xfId="8" applyNumberFormat="1" applyFont="1" applyBorder="1" applyProtection="1"/>
    <xf numFmtId="0" fontId="0" fillId="0" borderId="20" xfId="0" applyBorder="1" applyProtection="1"/>
    <xf numFmtId="164" fontId="3" fillId="0" borderId="0" xfId="3" applyFont="1" applyBorder="1" applyProtection="1"/>
    <xf numFmtId="0" fontId="3" fillId="0" borderId="0" xfId="0" applyFont="1" applyBorder="1" applyProtection="1"/>
    <xf numFmtId="169" fontId="2" fillId="0" borderId="3" xfId="6" applyNumberFormat="1" applyFont="1" applyFill="1" applyBorder="1" applyAlignment="1" applyProtection="1">
      <alignment vertic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ill="1"/>
    <xf numFmtId="0" fontId="4" fillId="3" borderId="31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/>
    </xf>
    <xf numFmtId="0" fontId="13" fillId="0" borderId="38" xfId="0" applyFont="1" applyBorder="1" applyAlignment="1" applyProtection="1">
      <alignment horizontal="center"/>
    </xf>
    <xf numFmtId="0" fontId="13" fillId="0" borderId="39" xfId="0" applyFont="1" applyBorder="1" applyAlignment="1" applyProtection="1">
      <alignment horizontal="center"/>
    </xf>
    <xf numFmtId="0" fontId="7" fillId="0" borderId="0" xfId="0" applyFont="1" applyProtection="1"/>
    <xf numFmtId="0" fontId="0" fillId="0" borderId="3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9" fillId="4" borderId="34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9" fillId="4" borderId="42" xfId="0" applyFont="1" applyFill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center" vertical="center"/>
    </xf>
    <xf numFmtId="0" fontId="4" fillId="3" borderId="38" xfId="0" applyFont="1" applyFill="1" applyBorder="1" applyAlignment="1" applyProtection="1">
      <alignment horizontal="center" vertical="center"/>
    </xf>
    <xf numFmtId="0" fontId="4" fillId="3" borderId="39" xfId="0" applyFont="1" applyFill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9" fillId="4" borderId="31" xfId="0" applyFont="1" applyFill="1" applyBorder="1" applyAlignment="1" applyProtection="1">
      <alignment horizontal="center" vertical="center"/>
      <protection locked="0"/>
    </xf>
    <xf numFmtId="0" fontId="9" fillId="4" borderId="33" xfId="0" applyFont="1" applyFill="1" applyBorder="1" applyAlignment="1" applyProtection="1">
      <alignment horizontal="center" vertical="center"/>
      <protection locked="0"/>
    </xf>
    <xf numFmtId="0" fontId="9" fillId="4" borderId="32" xfId="0" applyFont="1" applyFill="1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vertical="center" wrapText="1"/>
      <protection locked="0"/>
    </xf>
    <xf numFmtId="0" fontId="0" fillId="0" borderId="45" xfId="0" applyFont="1" applyBorder="1" applyAlignment="1" applyProtection="1">
      <alignment vertical="center" wrapText="1"/>
      <protection locked="0"/>
    </xf>
    <xf numFmtId="0" fontId="0" fillId="0" borderId="34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0" fillId="0" borderId="42" xfId="0" applyFont="1" applyBorder="1" applyAlignment="1" applyProtection="1">
      <alignment vertical="center" wrapText="1"/>
      <protection locked="0"/>
    </xf>
    <xf numFmtId="0" fontId="0" fillId="0" borderId="44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0" fillId="5" borderId="0" xfId="0" applyFont="1" applyFill="1" applyProtection="1"/>
    <xf numFmtId="0" fontId="9" fillId="5" borderId="35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0" fontId="9" fillId="5" borderId="20" xfId="0" applyFont="1" applyFill="1" applyBorder="1" applyAlignment="1" applyProtection="1">
      <alignment horizontal="center" vertical="center" wrapText="1"/>
    </xf>
    <xf numFmtId="0" fontId="0" fillId="5" borderId="30" xfId="0" applyFont="1" applyFill="1" applyBorder="1" applyProtection="1"/>
    <xf numFmtId="0" fontId="0" fillId="5" borderId="30" xfId="0" applyFont="1" applyFill="1" applyBorder="1" applyProtection="1">
      <protection locked="0"/>
    </xf>
    <xf numFmtId="0" fontId="0" fillId="6" borderId="42" xfId="0" applyFont="1" applyFill="1" applyBorder="1" applyAlignment="1" applyProtection="1">
      <alignment vertical="center" wrapText="1"/>
      <protection locked="0"/>
    </xf>
    <xf numFmtId="0" fontId="3" fillId="6" borderId="0" xfId="0" applyFont="1" applyFill="1" applyBorder="1" applyAlignment="1" applyProtection="1">
      <alignment vertical="center"/>
      <protection locked="0"/>
    </xf>
    <xf numFmtId="169" fontId="2" fillId="6" borderId="3" xfId="6" applyNumberFormat="1" applyFont="1" applyFill="1" applyBorder="1" applyAlignment="1" applyProtection="1">
      <alignment vertical="center"/>
      <protection locked="0"/>
    </xf>
    <xf numFmtId="0" fontId="0" fillId="7" borderId="42" xfId="0" applyFont="1" applyFill="1" applyBorder="1" applyAlignment="1" applyProtection="1">
      <alignment vertical="center" wrapText="1"/>
      <protection locked="0"/>
    </xf>
    <xf numFmtId="0" fontId="3" fillId="7" borderId="0" xfId="0" applyFont="1" applyFill="1" applyBorder="1" applyAlignment="1" applyProtection="1">
      <alignment vertical="center"/>
      <protection locked="0"/>
    </xf>
    <xf numFmtId="169" fontId="2" fillId="7" borderId="3" xfId="6" applyNumberFormat="1" applyFont="1" applyFill="1" applyBorder="1" applyAlignment="1" applyProtection="1">
      <alignment vertical="center"/>
      <protection locked="0"/>
    </xf>
    <xf numFmtId="0" fontId="0" fillId="7" borderId="0" xfId="0" applyFont="1" applyFill="1" applyBorder="1" applyAlignment="1" applyProtection="1">
      <alignment vertical="center"/>
      <protection locked="0"/>
    </xf>
  </cellXfs>
  <cellStyles count="9">
    <cellStyle name="Hipervínculo" xfId="1" builtinId="8" customBuiltin="1"/>
    <cellStyle name="Hipervínculo visitado" xfId="2" builtinId="9" customBuiltin="1"/>
    <cellStyle name="Millares" xfId="3" builtinId="3"/>
    <cellStyle name="Millares 18" xfId="4"/>
    <cellStyle name="Millares 2" xfId="5"/>
    <cellStyle name="Moneda" xfId="6" builtinId="4"/>
    <cellStyle name="Normal" xfId="0" builtinId="0"/>
    <cellStyle name="Normal 2" xfId="7"/>
    <cellStyle name="Porcentaje" xfId="8" builtinId="5"/>
  </cellStyles>
  <dxfs count="9">
    <dxf>
      <fill>
        <patternFill patternType="lightDown"/>
      </fill>
    </dxf>
    <dxf>
      <font>
        <strike val="0"/>
        <outline val="0"/>
        <shadow val="0"/>
        <vertAlign val="baseline"/>
        <sz val="11"/>
        <name val="Calibri"/>
        <scheme val="minor"/>
      </font>
      <numFmt numFmtId="168" formatCode="0.0000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name val="Calibri"/>
        <scheme val="minor"/>
      </font>
      <numFmt numFmtId="171" formatCode=";;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ill>
        <patternFill>
          <bgColor theme="0" tint="-4.9989318521683403E-2"/>
        </patternFill>
      </fill>
    </dxf>
    <dxf>
      <font>
        <b/>
        <i val="0"/>
      </font>
      <border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4">
      <tableStyleElement type="wholeTable" dxfId="8"/>
      <tableStyleElement type="headerRow" dxfId="7"/>
      <tableStyleElement type="totalRow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AXI!A1"/><Relationship Id="rId2" Type="http://schemas.openxmlformats.org/officeDocument/2006/relationships/hyperlink" Target="#Unipersonal!A1"/><Relationship Id="rId1" Type="http://schemas.openxmlformats.org/officeDocument/2006/relationships/hyperlink" Target="#IPC!A1"/><Relationship Id="rId6" Type="http://schemas.openxmlformats.org/officeDocument/2006/relationships/image" Target="../media/image1.jpeg"/><Relationship Id="rId5" Type="http://schemas.openxmlformats.org/officeDocument/2006/relationships/hyperlink" Target="#'AxII Din&#225;mico'!A1"/><Relationship Id="rId4" Type="http://schemas.openxmlformats.org/officeDocument/2006/relationships/hyperlink" Target="#'AxII Estatico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XI!A1"/><Relationship Id="rId2" Type="http://schemas.openxmlformats.org/officeDocument/2006/relationships/hyperlink" Target="#Unipersonal!A1"/><Relationship Id="rId1" Type="http://schemas.openxmlformats.org/officeDocument/2006/relationships/hyperlink" Target="#INDICE!A1"/><Relationship Id="rId5" Type="http://schemas.openxmlformats.org/officeDocument/2006/relationships/hyperlink" Target="#'AxII Din&#225;mico'!A1"/><Relationship Id="rId4" Type="http://schemas.openxmlformats.org/officeDocument/2006/relationships/hyperlink" Target="#'AxII Estatico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AXI!A1"/><Relationship Id="rId2" Type="http://schemas.openxmlformats.org/officeDocument/2006/relationships/hyperlink" Target="#IPC!A1"/><Relationship Id="rId1" Type="http://schemas.openxmlformats.org/officeDocument/2006/relationships/hyperlink" Target="#INDICE!A1"/><Relationship Id="rId5" Type="http://schemas.openxmlformats.org/officeDocument/2006/relationships/hyperlink" Target="#'AxII Din&#225;mico'!A1"/><Relationship Id="rId4" Type="http://schemas.openxmlformats.org/officeDocument/2006/relationships/hyperlink" Target="#'AxII Estatico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AxII Estatico'!A1"/><Relationship Id="rId2" Type="http://schemas.openxmlformats.org/officeDocument/2006/relationships/hyperlink" Target="#IPC!A1"/><Relationship Id="rId1" Type="http://schemas.openxmlformats.org/officeDocument/2006/relationships/hyperlink" Target="#INDICE!A1"/><Relationship Id="rId5" Type="http://schemas.openxmlformats.org/officeDocument/2006/relationships/hyperlink" Target="#Unipersonal!A1"/><Relationship Id="rId4" Type="http://schemas.openxmlformats.org/officeDocument/2006/relationships/hyperlink" Target="#'AxII Din&#225;mico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AXI!A1"/><Relationship Id="rId2" Type="http://schemas.openxmlformats.org/officeDocument/2006/relationships/hyperlink" Target="#IPC!A1"/><Relationship Id="rId1" Type="http://schemas.openxmlformats.org/officeDocument/2006/relationships/hyperlink" Target="#INDICE!A1"/><Relationship Id="rId5" Type="http://schemas.openxmlformats.org/officeDocument/2006/relationships/hyperlink" Target="#Unipersonal!A1"/><Relationship Id="rId4" Type="http://schemas.openxmlformats.org/officeDocument/2006/relationships/hyperlink" Target="#'AxII Din&#225;mico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AXI!A1"/><Relationship Id="rId2" Type="http://schemas.openxmlformats.org/officeDocument/2006/relationships/hyperlink" Target="#IPC!A1"/><Relationship Id="rId1" Type="http://schemas.openxmlformats.org/officeDocument/2006/relationships/hyperlink" Target="#INDICE!A1"/><Relationship Id="rId5" Type="http://schemas.openxmlformats.org/officeDocument/2006/relationships/hyperlink" Target="#Unipersonal!A1"/><Relationship Id="rId4" Type="http://schemas.openxmlformats.org/officeDocument/2006/relationships/hyperlink" Target="#'AxII Estatic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95249</xdr:rowOff>
    </xdr:from>
    <xdr:to>
      <xdr:col>3</xdr:col>
      <xdr:colOff>276000</xdr:colOff>
      <xdr:row>7</xdr:row>
      <xdr:rowOff>63749</xdr:rowOff>
    </xdr:to>
    <xdr:sp macro="" textlink="">
      <xdr:nvSpPr>
        <xdr:cNvPr id="2" name="CuadroTex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7650" y="781049"/>
          <a:ext cx="1800000" cy="540000"/>
        </a:xfrm>
        <a:prstGeom prst="rect">
          <a:avLst/>
        </a:prstGeom>
        <a:ln w="19050"/>
        <a:effectLst>
          <a:innerShdw blurRad="114300">
            <a:prstClr val="black"/>
          </a:inn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</a:t>
          </a:r>
          <a:r>
            <a:rPr lang="es-AR" sz="1100" b="1" baseline="0"/>
            <a:t> de Precios General al Consumidor - IPC</a:t>
          </a:r>
          <a:endParaRPr lang="es-AR" sz="1100" b="1"/>
        </a:p>
      </xdr:txBody>
    </xdr:sp>
    <xdr:clientData/>
  </xdr:twoCellAnchor>
  <xdr:twoCellAnchor>
    <xdr:from>
      <xdr:col>3</xdr:col>
      <xdr:colOff>523875</xdr:colOff>
      <xdr:row>4</xdr:row>
      <xdr:rowOff>95249</xdr:rowOff>
    </xdr:from>
    <xdr:to>
      <xdr:col>6</xdr:col>
      <xdr:colOff>397875</xdr:colOff>
      <xdr:row>7</xdr:row>
      <xdr:rowOff>63749</xdr:rowOff>
    </xdr:to>
    <xdr:sp macro="" textlink="">
      <xdr:nvSpPr>
        <xdr:cNvPr id="4" name="CuadroText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96990" y="783980"/>
          <a:ext cx="2160000" cy="540000"/>
        </a:xfrm>
        <a:prstGeom prst="rect">
          <a:avLst/>
        </a:prstGeom>
        <a:ln w="19050"/>
        <a:effectLst>
          <a:innerShdw blurRad="114300">
            <a:prstClr val="black"/>
          </a:inn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Balance impositivo</a:t>
          </a:r>
          <a:r>
            <a:rPr lang="es-AR" sz="1100" b="1" baseline="0"/>
            <a:t> de explotación u</a:t>
          </a:r>
          <a:r>
            <a:rPr lang="es-AR" sz="1100" b="1"/>
            <a:t>nipersonal</a:t>
          </a:r>
        </a:p>
      </xdr:txBody>
    </xdr:sp>
    <xdr:clientData/>
  </xdr:twoCellAnchor>
  <xdr:twoCellAnchor>
    <xdr:from>
      <xdr:col>1</xdr:col>
      <xdr:colOff>0</xdr:colOff>
      <xdr:row>7</xdr:row>
      <xdr:rowOff>147636</xdr:rowOff>
    </xdr:from>
    <xdr:to>
      <xdr:col>3</xdr:col>
      <xdr:colOff>276000</xdr:colOff>
      <xdr:row>10</xdr:row>
      <xdr:rowOff>116136</xdr:rowOff>
    </xdr:to>
    <xdr:sp macro="" textlink="">
      <xdr:nvSpPr>
        <xdr:cNvPr id="5" name="CuadroText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7650" y="1404936"/>
          <a:ext cx="1800000" cy="540000"/>
        </a:xfrm>
        <a:prstGeom prst="rect">
          <a:avLst/>
        </a:prstGeom>
        <a:ln w="19050"/>
        <a:effectLst>
          <a:innerShdw blurRad="114300">
            <a:prstClr val="black"/>
          </a:inn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3</xdr:col>
      <xdr:colOff>523875</xdr:colOff>
      <xdr:row>7</xdr:row>
      <xdr:rowOff>147636</xdr:rowOff>
    </xdr:from>
    <xdr:to>
      <xdr:col>6</xdr:col>
      <xdr:colOff>397875</xdr:colOff>
      <xdr:row>8</xdr:row>
      <xdr:rowOff>173136</xdr:rowOff>
    </xdr:to>
    <xdr:sp macro="" textlink="">
      <xdr:nvSpPr>
        <xdr:cNvPr id="6" name="CuadroText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296990" y="1407867"/>
          <a:ext cx="2160000" cy="216000"/>
        </a:xfrm>
        <a:prstGeom prst="rect">
          <a:avLst/>
        </a:prstGeom>
        <a:ln w="19050"/>
        <a:effectLst>
          <a:innerShdw blurRad="114300">
            <a:prstClr val="black"/>
          </a:inn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Estático</a:t>
          </a:r>
          <a:endParaRPr lang="es-AR" sz="1100" b="1"/>
        </a:p>
      </xdr:txBody>
    </xdr:sp>
    <xdr:clientData/>
  </xdr:twoCellAnchor>
  <xdr:twoCellAnchor>
    <xdr:from>
      <xdr:col>3</xdr:col>
      <xdr:colOff>523875</xdr:colOff>
      <xdr:row>9</xdr:row>
      <xdr:rowOff>90636</xdr:rowOff>
    </xdr:from>
    <xdr:to>
      <xdr:col>6</xdr:col>
      <xdr:colOff>397875</xdr:colOff>
      <xdr:row>10</xdr:row>
      <xdr:rowOff>116136</xdr:rowOff>
    </xdr:to>
    <xdr:sp macro="" textlink="">
      <xdr:nvSpPr>
        <xdr:cNvPr id="7" name="CuadroText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296990" y="1731867"/>
          <a:ext cx="2160000" cy="216000"/>
        </a:xfrm>
        <a:prstGeom prst="rect">
          <a:avLst/>
        </a:prstGeom>
        <a:ln w="19050"/>
        <a:effectLst>
          <a:innerShdw blurRad="114300">
            <a:prstClr val="black"/>
          </a:inn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  <xdr:twoCellAnchor>
    <xdr:from>
      <xdr:col>1</xdr:col>
      <xdr:colOff>1</xdr:colOff>
      <xdr:row>1</xdr:row>
      <xdr:rowOff>47625</xdr:rowOff>
    </xdr:from>
    <xdr:to>
      <xdr:col>6</xdr:col>
      <xdr:colOff>419101</xdr:colOff>
      <xdr:row>3</xdr:row>
      <xdr:rowOff>142875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47651" y="161925"/>
          <a:ext cx="4229100" cy="476250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Impositivo - Explotación unipersonal</a:t>
          </a:r>
          <a:endParaRPr lang="es-AR" sz="1100" b="1"/>
        </a:p>
      </xdr:txBody>
    </xdr:sp>
    <xdr:clientData/>
  </xdr:twoCellAnchor>
  <xdr:twoCellAnchor editAs="oneCell">
    <xdr:from>
      <xdr:col>7</xdr:col>
      <xdr:colOff>7326</xdr:colOff>
      <xdr:row>0</xdr:row>
      <xdr:rowOff>0</xdr:rowOff>
    </xdr:from>
    <xdr:to>
      <xdr:col>10</xdr:col>
      <xdr:colOff>11206</xdr:colOff>
      <xdr:row>12</xdr:row>
      <xdr:rowOff>73160</xdr:rowOff>
    </xdr:to>
    <xdr:pic>
      <xdr:nvPicPr>
        <xdr:cNvPr id="10" name="9 Imagen" descr="logo consejo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25855" y="0"/>
          <a:ext cx="2289880" cy="22838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0</xdr:row>
      <xdr:rowOff>89647</xdr:rowOff>
    </xdr:from>
    <xdr:to>
      <xdr:col>3</xdr:col>
      <xdr:colOff>152734</xdr:colOff>
      <xdr:row>4</xdr:row>
      <xdr:rowOff>109412</xdr:rowOff>
    </xdr:to>
    <xdr:sp macro="" textlink="">
      <xdr:nvSpPr>
        <xdr:cNvPr id="2" name="CuadroTex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2558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3</xdr:col>
      <xdr:colOff>229719</xdr:colOff>
      <xdr:row>0</xdr:row>
      <xdr:rowOff>89647</xdr:rowOff>
    </xdr:from>
    <xdr:to>
      <xdr:col>5</xdr:col>
      <xdr:colOff>382455</xdr:colOff>
      <xdr:row>4</xdr:row>
      <xdr:rowOff>109412</xdr:rowOff>
    </xdr:to>
    <xdr:sp macro="" textlink="">
      <xdr:nvSpPr>
        <xdr:cNvPr id="3" name="CuadroTex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179543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Balance impositivo de explotación unipersonal</a:t>
          </a:r>
        </a:p>
      </xdr:txBody>
    </xdr:sp>
    <xdr:clientData/>
  </xdr:twoCellAnchor>
  <xdr:twoCellAnchor>
    <xdr:from>
      <xdr:col>5</xdr:col>
      <xdr:colOff>459440</xdr:colOff>
      <xdr:row>0</xdr:row>
      <xdr:rowOff>89647</xdr:rowOff>
    </xdr:from>
    <xdr:to>
      <xdr:col>7</xdr:col>
      <xdr:colOff>735440</xdr:colOff>
      <xdr:row>4</xdr:row>
      <xdr:rowOff>109412</xdr:rowOff>
    </xdr:to>
    <xdr:sp macro="" textlink="">
      <xdr:nvSpPr>
        <xdr:cNvPr id="4" name="CuadroTex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056528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8</xdr:col>
      <xdr:colOff>50425</xdr:colOff>
      <xdr:row>0</xdr:row>
      <xdr:rowOff>89647</xdr:rowOff>
    </xdr:from>
    <xdr:to>
      <xdr:col>10</xdr:col>
      <xdr:colOff>326425</xdr:colOff>
      <xdr:row>4</xdr:row>
      <xdr:rowOff>109412</xdr:rowOff>
    </xdr:to>
    <xdr:sp macro="" textlink="">
      <xdr:nvSpPr>
        <xdr:cNvPr id="5" name="CuadroText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933513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Estático</a:t>
          </a:r>
          <a:endParaRPr lang="es-AR" sz="1100" b="1"/>
        </a:p>
      </xdr:txBody>
    </xdr:sp>
    <xdr:clientData/>
  </xdr:twoCellAnchor>
  <xdr:twoCellAnchor>
    <xdr:from>
      <xdr:col>10</xdr:col>
      <xdr:colOff>403411</xdr:colOff>
      <xdr:row>0</xdr:row>
      <xdr:rowOff>89647</xdr:rowOff>
    </xdr:from>
    <xdr:to>
      <xdr:col>12</xdr:col>
      <xdr:colOff>679411</xdr:colOff>
      <xdr:row>4</xdr:row>
      <xdr:rowOff>109412</xdr:rowOff>
    </xdr:to>
    <xdr:sp macro="" textlink="">
      <xdr:nvSpPr>
        <xdr:cNvPr id="6" name="CuadroText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10499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0</xdr:row>
      <xdr:rowOff>89647</xdr:rowOff>
    </xdr:from>
    <xdr:to>
      <xdr:col>1</xdr:col>
      <xdr:colOff>1856029</xdr:colOff>
      <xdr:row>4</xdr:row>
      <xdr:rowOff>109412</xdr:rowOff>
    </xdr:to>
    <xdr:sp macro="" textlink="">
      <xdr:nvSpPr>
        <xdr:cNvPr id="12" name="CuadroTexto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302558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1</xdr:col>
      <xdr:colOff>1933429</xdr:colOff>
      <xdr:row>0</xdr:row>
      <xdr:rowOff>89647</xdr:rowOff>
    </xdr:from>
    <xdr:to>
      <xdr:col>1</xdr:col>
      <xdr:colOff>3733429</xdr:colOff>
      <xdr:row>4</xdr:row>
      <xdr:rowOff>109412</xdr:rowOff>
    </xdr:to>
    <xdr:sp macro="" textlink="">
      <xdr:nvSpPr>
        <xdr:cNvPr id="13" name="CuadroText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179958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 de Precios General al Consumidor - IPC</a:t>
          </a:r>
        </a:p>
      </xdr:txBody>
    </xdr:sp>
    <xdr:clientData/>
  </xdr:twoCellAnchor>
  <xdr:twoCellAnchor>
    <xdr:from>
      <xdr:col>1</xdr:col>
      <xdr:colOff>3810829</xdr:colOff>
      <xdr:row>0</xdr:row>
      <xdr:rowOff>89647</xdr:rowOff>
    </xdr:from>
    <xdr:to>
      <xdr:col>4</xdr:col>
      <xdr:colOff>355270</xdr:colOff>
      <xdr:row>4</xdr:row>
      <xdr:rowOff>109412</xdr:rowOff>
    </xdr:to>
    <xdr:sp macro="" textlink="">
      <xdr:nvSpPr>
        <xdr:cNvPr id="14" name="CuadroTexto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057358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4</xdr:col>
      <xdr:colOff>432670</xdr:colOff>
      <xdr:row>0</xdr:row>
      <xdr:rowOff>89647</xdr:rowOff>
    </xdr:from>
    <xdr:to>
      <xdr:col>5</xdr:col>
      <xdr:colOff>148376</xdr:colOff>
      <xdr:row>4</xdr:row>
      <xdr:rowOff>109412</xdr:rowOff>
    </xdr:to>
    <xdr:sp macro="" textlink="">
      <xdr:nvSpPr>
        <xdr:cNvPr id="15" name="CuadroTexto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5934758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Estático</a:t>
          </a:r>
          <a:endParaRPr lang="es-AR" sz="1100" b="1"/>
        </a:p>
      </xdr:txBody>
    </xdr:sp>
    <xdr:clientData/>
  </xdr:twoCellAnchor>
  <xdr:twoCellAnchor>
    <xdr:from>
      <xdr:col>5</xdr:col>
      <xdr:colOff>225776</xdr:colOff>
      <xdr:row>0</xdr:row>
      <xdr:rowOff>89647</xdr:rowOff>
    </xdr:from>
    <xdr:to>
      <xdr:col>7</xdr:col>
      <xdr:colOff>333687</xdr:colOff>
      <xdr:row>4</xdr:row>
      <xdr:rowOff>109412</xdr:rowOff>
    </xdr:to>
    <xdr:sp macro="" textlink="">
      <xdr:nvSpPr>
        <xdr:cNvPr id="16" name="CuadroTexto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7812158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0</xdr:row>
      <xdr:rowOff>89647</xdr:rowOff>
    </xdr:from>
    <xdr:to>
      <xdr:col>1</xdr:col>
      <xdr:colOff>1856029</xdr:colOff>
      <xdr:row>4</xdr:row>
      <xdr:rowOff>109412</xdr:rowOff>
    </xdr:to>
    <xdr:sp macro="" textlink="">
      <xdr:nvSpPr>
        <xdr:cNvPr id="2" name="CuadroTex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02558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1</xdr:col>
      <xdr:colOff>1933429</xdr:colOff>
      <xdr:row>0</xdr:row>
      <xdr:rowOff>89647</xdr:rowOff>
    </xdr:from>
    <xdr:to>
      <xdr:col>2</xdr:col>
      <xdr:colOff>483723</xdr:colOff>
      <xdr:row>4</xdr:row>
      <xdr:rowOff>109412</xdr:rowOff>
    </xdr:to>
    <xdr:sp macro="" textlink="">
      <xdr:nvSpPr>
        <xdr:cNvPr id="3" name="CuadroTex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179958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 de Precios General al Consumidor - IPC</a:t>
          </a:r>
        </a:p>
      </xdr:txBody>
    </xdr:sp>
    <xdr:clientData/>
  </xdr:twoCellAnchor>
  <xdr:twoCellAnchor>
    <xdr:from>
      <xdr:col>5</xdr:col>
      <xdr:colOff>152523</xdr:colOff>
      <xdr:row>0</xdr:row>
      <xdr:rowOff>89647</xdr:rowOff>
    </xdr:from>
    <xdr:to>
      <xdr:col>7</xdr:col>
      <xdr:colOff>428523</xdr:colOff>
      <xdr:row>4</xdr:row>
      <xdr:rowOff>109412</xdr:rowOff>
    </xdr:to>
    <xdr:sp macro="" textlink="">
      <xdr:nvSpPr>
        <xdr:cNvPr id="5" name="CuadroText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934758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Estático</a:t>
          </a:r>
          <a:endParaRPr lang="es-AR" sz="1100" b="1"/>
        </a:p>
      </xdr:txBody>
    </xdr:sp>
    <xdr:clientData/>
  </xdr:twoCellAnchor>
  <xdr:twoCellAnchor>
    <xdr:from>
      <xdr:col>7</xdr:col>
      <xdr:colOff>505923</xdr:colOff>
      <xdr:row>0</xdr:row>
      <xdr:rowOff>89647</xdr:rowOff>
    </xdr:from>
    <xdr:to>
      <xdr:col>10</xdr:col>
      <xdr:colOff>19923</xdr:colOff>
      <xdr:row>4</xdr:row>
      <xdr:rowOff>109412</xdr:rowOff>
    </xdr:to>
    <xdr:sp macro="" textlink="">
      <xdr:nvSpPr>
        <xdr:cNvPr id="6" name="CuadroText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7812158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  <xdr:twoCellAnchor>
    <xdr:from>
      <xdr:col>2</xdr:col>
      <xdr:colOff>561123</xdr:colOff>
      <xdr:row>0</xdr:row>
      <xdr:rowOff>89647</xdr:rowOff>
    </xdr:from>
    <xdr:to>
      <xdr:col>5</xdr:col>
      <xdr:colOff>75123</xdr:colOff>
      <xdr:row>4</xdr:row>
      <xdr:rowOff>109412</xdr:rowOff>
    </xdr:to>
    <xdr:sp macro="" textlink="">
      <xdr:nvSpPr>
        <xdr:cNvPr id="17" name="CuadroTexto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4057358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Balance impositivo</a:t>
          </a:r>
          <a:r>
            <a:rPr lang="es-A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explotación u</a:t>
          </a:r>
          <a:r>
            <a:rPr lang="es-A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nipersonal</a:t>
          </a:r>
          <a:endParaRPr lang="es-AR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758358</xdr:colOff>
      <xdr:row>12</xdr:row>
      <xdr:rowOff>25213</xdr:rowOff>
    </xdr:from>
    <xdr:to>
      <xdr:col>3</xdr:col>
      <xdr:colOff>758358</xdr:colOff>
      <xdr:row>31</xdr:row>
      <xdr:rowOff>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7537917" y="1033742"/>
          <a:ext cx="0" cy="588028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758358</xdr:colOff>
      <xdr:row>34</xdr:row>
      <xdr:rowOff>1682</xdr:rowOff>
    </xdr:from>
    <xdr:to>
      <xdr:col>3</xdr:col>
      <xdr:colOff>758358</xdr:colOff>
      <xdr:row>37</xdr:row>
      <xdr:rowOff>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7537917" y="7700123"/>
          <a:ext cx="0" cy="95081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56028</xdr:colOff>
      <xdr:row>0</xdr:row>
      <xdr:rowOff>89647</xdr:rowOff>
    </xdr:from>
    <xdr:to>
      <xdr:col>2</xdr:col>
      <xdr:colOff>365645</xdr:colOff>
      <xdr:row>4</xdr:row>
      <xdr:rowOff>109412</xdr:rowOff>
    </xdr:to>
    <xdr:sp macro="" textlink="">
      <xdr:nvSpPr>
        <xdr:cNvPr id="5" name="CuadroText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302557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2</xdr:col>
      <xdr:colOff>443045</xdr:colOff>
      <xdr:row>0</xdr:row>
      <xdr:rowOff>89647</xdr:rowOff>
    </xdr:from>
    <xdr:to>
      <xdr:col>2</xdr:col>
      <xdr:colOff>2243045</xdr:colOff>
      <xdr:row>4</xdr:row>
      <xdr:rowOff>109412</xdr:rowOff>
    </xdr:to>
    <xdr:sp macro="" textlink="">
      <xdr:nvSpPr>
        <xdr:cNvPr id="6" name="CuadroText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2179957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 de Precios General al Consumidor - IPC</a:t>
          </a:r>
        </a:p>
      </xdr:txBody>
    </xdr:sp>
    <xdr:clientData/>
  </xdr:twoCellAnchor>
  <xdr:twoCellAnchor>
    <xdr:from>
      <xdr:col>2</xdr:col>
      <xdr:colOff>4197845</xdr:colOff>
      <xdr:row>0</xdr:row>
      <xdr:rowOff>89647</xdr:rowOff>
    </xdr:from>
    <xdr:to>
      <xdr:col>3</xdr:col>
      <xdr:colOff>843139</xdr:colOff>
      <xdr:row>4</xdr:row>
      <xdr:rowOff>109412</xdr:rowOff>
    </xdr:to>
    <xdr:sp macro="" textlink="">
      <xdr:nvSpPr>
        <xdr:cNvPr id="7" name="CuadroText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5934757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3</xdr:col>
      <xdr:colOff>920539</xdr:colOff>
      <xdr:row>0</xdr:row>
      <xdr:rowOff>89647</xdr:rowOff>
    </xdr:from>
    <xdr:to>
      <xdr:col>4</xdr:col>
      <xdr:colOff>1207745</xdr:colOff>
      <xdr:row>4</xdr:row>
      <xdr:rowOff>109412</xdr:rowOff>
    </xdr:to>
    <xdr:sp macro="" textlink="">
      <xdr:nvSpPr>
        <xdr:cNvPr id="9" name="CuadroText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7812157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  <xdr:twoCellAnchor>
    <xdr:from>
      <xdr:col>2</xdr:col>
      <xdr:colOff>2320445</xdr:colOff>
      <xdr:row>0</xdr:row>
      <xdr:rowOff>89647</xdr:rowOff>
    </xdr:from>
    <xdr:to>
      <xdr:col>2</xdr:col>
      <xdr:colOff>4120445</xdr:colOff>
      <xdr:row>4</xdr:row>
      <xdr:rowOff>109412</xdr:rowOff>
    </xdr:to>
    <xdr:sp macro="" textlink="">
      <xdr:nvSpPr>
        <xdr:cNvPr id="11" name="Cuadro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057357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Balance impositivo de explotación unipersonal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56028</xdr:colOff>
      <xdr:row>0</xdr:row>
      <xdr:rowOff>89647</xdr:rowOff>
    </xdr:from>
    <xdr:to>
      <xdr:col>1</xdr:col>
      <xdr:colOff>1856028</xdr:colOff>
      <xdr:row>4</xdr:row>
      <xdr:rowOff>109412</xdr:rowOff>
    </xdr:to>
    <xdr:sp macro="" textlink="">
      <xdr:nvSpPr>
        <xdr:cNvPr id="12" name="CuadroTexto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302557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1</xdr:col>
      <xdr:colOff>1933428</xdr:colOff>
      <xdr:row>0</xdr:row>
      <xdr:rowOff>89647</xdr:rowOff>
    </xdr:from>
    <xdr:to>
      <xdr:col>1</xdr:col>
      <xdr:colOff>3733428</xdr:colOff>
      <xdr:row>4</xdr:row>
      <xdr:rowOff>109412</xdr:rowOff>
    </xdr:to>
    <xdr:sp macro="" textlink="">
      <xdr:nvSpPr>
        <xdr:cNvPr id="13" name="CuadroText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2179957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 de Precios General al Consumidor - IPC</a:t>
          </a:r>
        </a:p>
      </xdr:txBody>
    </xdr:sp>
    <xdr:clientData/>
  </xdr:twoCellAnchor>
  <xdr:twoCellAnchor>
    <xdr:from>
      <xdr:col>2</xdr:col>
      <xdr:colOff>163728</xdr:colOff>
      <xdr:row>0</xdr:row>
      <xdr:rowOff>89647</xdr:rowOff>
    </xdr:from>
    <xdr:to>
      <xdr:col>4</xdr:col>
      <xdr:colOff>439728</xdr:colOff>
      <xdr:row>4</xdr:row>
      <xdr:rowOff>109412</xdr:rowOff>
    </xdr:to>
    <xdr:sp macro="" textlink="">
      <xdr:nvSpPr>
        <xdr:cNvPr id="14" name="CuadroTexto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5934757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4</xdr:col>
      <xdr:colOff>517128</xdr:colOff>
      <xdr:row>0</xdr:row>
      <xdr:rowOff>89647</xdr:rowOff>
    </xdr:from>
    <xdr:to>
      <xdr:col>7</xdr:col>
      <xdr:colOff>31128</xdr:colOff>
      <xdr:row>4</xdr:row>
      <xdr:rowOff>109412</xdr:rowOff>
    </xdr:to>
    <xdr:sp macro="" textlink="">
      <xdr:nvSpPr>
        <xdr:cNvPr id="15" name="CuadroTexto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7812157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Estatico</a:t>
          </a:r>
          <a:endParaRPr lang="es-AR" sz="1100" b="1"/>
        </a:p>
      </xdr:txBody>
    </xdr:sp>
    <xdr:clientData/>
  </xdr:twoCellAnchor>
  <xdr:twoCellAnchor>
    <xdr:from>
      <xdr:col>1</xdr:col>
      <xdr:colOff>3810828</xdr:colOff>
      <xdr:row>0</xdr:row>
      <xdr:rowOff>89647</xdr:rowOff>
    </xdr:from>
    <xdr:to>
      <xdr:col>2</xdr:col>
      <xdr:colOff>86328</xdr:colOff>
      <xdr:row>4</xdr:row>
      <xdr:rowOff>109412</xdr:rowOff>
    </xdr:to>
    <xdr:sp macro="" textlink="">
      <xdr:nvSpPr>
        <xdr:cNvPr id="16" name="CuadroTexto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4057357" y="89647"/>
          <a:ext cx="1800000" cy="468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Balance impositivo</a:t>
          </a:r>
          <a:r>
            <a:rPr lang="es-A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explotación u</a:t>
          </a:r>
          <a:r>
            <a:rPr lang="es-A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nipersonal</a:t>
          </a:r>
          <a:endParaRPr lang="es-AR">
            <a:effectLst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IPC" displayName="IPC" ref="B12:C25" totalsRowShown="0" headerRowDxfId="4" dataDxfId="3">
  <autoFilter ref="B12:C25">
    <filterColumn colId="0" hiddenButton="1"/>
    <filterColumn colId="1" hiddenButton="1"/>
  </autoFilter>
  <tableColumns count="2">
    <tableColumn id="1" name="Periodo " dataDxfId="2"/>
    <tableColumn id="2" name="IPC" dataDxfId="1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/>
      </a:spPr>
      <a:bodyPr vertOverflow="clip" horzOverflow="clip" wrap="square" rtlCol="0" anchor="ctr"/>
      <a:lstStyle>
        <a:defPPr algn="ctr">
          <a:defRPr sz="1100" b="1"/>
        </a:defPPr>
      </a:lstStyle>
      <a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B14"/>
  <sheetViews>
    <sheetView showGridLines="0" tabSelected="1" zoomScale="170" zoomScaleNormal="170" zoomScaleSheetLayoutView="150" workbookViewId="0">
      <selection activeCell="E14" sqref="E14"/>
    </sheetView>
  </sheetViews>
  <sheetFormatPr baseColWidth="10" defaultRowHeight="15" x14ac:dyDescent="0.25"/>
  <cols>
    <col min="1" max="1" width="3.7109375" style="140" customWidth="1"/>
    <col min="2" max="16384" width="11.42578125" style="140"/>
  </cols>
  <sheetData>
    <row r="1" spans="2:2" s="139" customFormat="1" ht="9" customHeight="1" x14ac:dyDescent="0.25"/>
    <row r="12" spans="2:2" x14ac:dyDescent="0.25">
      <c r="B12" s="140" t="s">
        <v>138</v>
      </c>
    </row>
    <row r="13" spans="2:2" x14ac:dyDescent="0.25">
      <c r="B13" s="140" t="s">
        <v>139</v>
      </c>
    </row>
    <row r="14" spans="2:2" x14ac:dyDescent="0.25">
      <c r="B14" s="140" t="s">
        <v>140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3"/>
  <sheetViews>
    <sheetView showGridLines="0" zoomScaleNormal="100" workbookViewId="0">
      <selection activeCell="I15" sqref="I15"/>
    </sheetView>
  </sheetViews>
  <sheetFormatPr baseColWidth="10" defaultRowHeight="15" x14ac:dyDescent="0.25"/>
  <cols>
    <col min="1" max="1" width="3.7109375" style="72" customWidth="1"/>
    <col min="2" max="2" width="13" style="72" customWidth="1"/>
    <col min="3" max="3" width="12.5703125" style="72" customWidth="1"/>
    <col min="4" max="4" width="11.42578125" style="72"/>
    <col min="5" max="5" width="13.28515625" style="72" bestFit="1" customWidth="1"/>
    <col min="6" max="16384" width="11.42578125" style="72"/>
  </cols>
  <sheetData>
    <row r="1" spans="1:15" s="177" customFormat="1" ht="9" customHeight="1" thickBot="1" x14ac:dyDescent="0.3"/>
    <row r="2" spans="1:15" s="177" customFormat="1" ht="9" customHeight="1" x14ac:dyDescent="0.25">
      <c r="O2" s="178" t="str">
        <f>+$B$10&amp;" "&amp;$C$10</f>
        <v>Periodo Fiscal 2019</v>
      </c>
    </row>
    <row r="3" spans="1:15" s="177" customFormat="1" ht="9" customHeight="1" x14ac:dyDescent="0.25">
      <c r="O3" s="179"/>
    </row>
    <row r="4" spans="1:15" s="177" customFormat="1" ht="9" customHeight="1" x14ac:dyDescent="0.25">
      <c r="O4" s="179"/>
    </row>
    <row r="5" spans="1:15" s="177" customFormat="1" ht="9" customHeight="1" thickBot="1" x14ac:dyDescent="0.3">
      <c r="O5" s="180"/>
    </row>
    <row r="6" spans="1:15" s="181" customFormat="1" ht="9" customHeight="1" thickBot="1" x14ac:dyDescent="0.3"/>
    <row r="7" spans="1:15" ht="20.100000000000001" customHeight="1" thickBot="1" x14ac:dyDescent="0.3">
      <c r="A7" s="68"/>
      <c r="B7" s="69"/>
      <c r="C7" s="68"/>
      <c r="D7" s="70"/>
      <c r="E7" s="71"/>
    </row>
    <row r="8" spans="1:15" ht="20.100000000000001" customHeight="1" thickBot="1" x14ac:dyDescent="0.3">
      <c r="A8" s="68"/>
      <c r="B8" s="141" t="s">
        <v>137</v>
      </c>
      <c r="C8" s="142"/>
      <c r="D8" s="142"/>
      <c r="E8" s="143"/>
      <c r="G8" s="110" t="s">
        <v>11</v>
      </c>
      <c r="H8" s="111" t="s">
        <v>51</v>
      </c>
    </row>
    <row r="9" spans="1:15" ht="20.100000000000001" customHeight="1" thickBot="1" x14ac:dyDescent="0.3">
      <c r="A9" s="68"/>
      <c r="B9" s="68"/>
      <c r="C9" s="68"/>
      <c r="D9" s="68"/>
      <c r="E9" s="68"/>
    </row>
    <row r="10" spans="1:15" ht="20.100000000000001" customHeight="1" thickBot="1" x14ac:dyDescent="0.3">
      <c r="A10" s="68"/>
      <c r="B10" s="73" t="s">
        <v>66</v>
      </c>
      <c r="C10" s="74">
        <v>2019</v>
      </c>
      <c r="D10" s="68"/>
      <c r="E10" s="68"/>
    </row>
    <row r="11" spans="1:15" ht="20.100000000000001" customHeight="1" x14ac:dyDescent="0.25">
      <c r="A11" s="68"/>
      <c r="B11" s="68"/>
      <c r="C11" s="68"/>
      <c r="D11" s="68"/>
      <c r="E11" s="68"/>
    </row>
    <row r="12" spans="1:15" ht="20.100000000000001" customHeight="1" x14ac:dyDescent="0.25">
      <c r="A12" s="68"/>
      <c r="B12" s="68" t="s">
        <v>65</v>
      </c>
      <c r="C12" s="68" t="s">
        <v>51</v>
      </c>
      <c r="D12" s="68"/>
      <c r="E12" s="68"/>
    </row>
    <row r="13" spans="1:15" ht="20.100000000000001" customHeight="1" x14ac:dyDescent="0.25">
      <c r="A13" s="68"/>
      <c r="B13" s="76">
        <f>+DATE($C$10-1,12,1)</f>
        <v>43435</v>
      </c>
      <c r="C13" s="75">
        <v>184.2552</v>
      </c>
      <c r="D13" s="68"/>
      <c r="E13" s="68"/>
    </row>
    <row r="14" spans="1:15" ht="20.100000000000001" customHeight="1" x14ac:dyDescent="0.25">
      <c r="A14" s="68"/>
      <c r="B14" s="76">
        <f>+DATE($C$10,1,1)</f>
        <v>43466</v>
      </c>
      <c r="C14" s="75">
        <v>189.61009999999999</v>
      </c>
      <c r="D14" s="68"/>
      <c r="E14" s="68"/>
    </row>
    <row r="15" spans="1:15" ht="20.100000000000001" customHeight="1" x14ac:dyDescent="0.25">
      <c r="A15" s="68"/>
      <c r="B15" s="76">
        <f>+DATE($C$10,2,1)</f>
        <v>43497</v>
      </c>
      <c r="C15" s="75">
        <v>196.7501</v>
      </c>
      <c r="D15" s="68"/>
      <c r="E15" s="68"/>
    </row>
    <row r="16" spans="1:15" ht="20.100000000000001" customHeight="1" x14ac:dyDescent="0.25">
      <c r="A16" s="68"/>
      <c r="B16" s="76">
        <f>+DATE($C$10,3,1)</f>
        <v>43525</v>
      </c>
      <c r="C16" s="75">
        <v>205.9571</v>
      </c>
      <c r="D16" s="68"/>
      <c r="E16" s="68"/>
    </row>
    <row r="17" spans="1:5" ht="20.100000000000001" customHeight="1" x14ac:dyDescent="0.25">
      <c r="A17" s="68"/>
      <c r="B17" s="76">
        <f>+DATE($C$10,4,1)</f>
        <v>43556</v>
      </c>
      <c r="C17" s="75">
        <v>213.05170000000001</v>
      </c>
      <c r="D17" s="68"/>
      <c r="E17" s="68"/>
    </row>
    <row r="18" spans="1:5" ht="20.100000000000001" customHeight="1" x14ac:dyDescent="0.25">
      <c r="A18" s="68"/>
      <c r="B18" s="76">
        <f>+DATE($C$10,5,1)</f>
        <v>43586</v>
      </c>
      <c r="C18" s="75">
        <v>219.56909999999999</v>
      </c>
      <c r="D18" s="68"/>
      <c r="E18" s="68"/>
    </row>
    <row r="19" spans="1:5" ht="20.100000000000001" customHeight="1" x14ac:dyDescent="0.25">
      <c r="A19" s="68"/>
      <c r="B19" s="76">
        <f>+DATE($C$10,6,1)</f>
        <v>43617</v>
      </c>
      <c r="C19" s="75">
        <v>225.53700000000001</v>
      </c>
      <c r="D19" s="68"/>
      <c r="E19" s="68"/>
    </row>
    <row r="20" spans="1:5" ht="20.100000000000001" customHeight="1" x14ac:dyDescent="0.25">
      <c r="A20" s="68"/>
      <c r="B20" s="76">
        <f>+DATE($C$10,7,1)</f>
        <v>43647</v>
      </c>
      <c r="C20" s="75">
        <v>230.494</v>
      </c>
      <c r="D20" s="68"/>
      <c r="E20" s="68"/>
    </row>
    <row r="21" spans="1:5" ht="20.100000000000001" customHeight="1" x14ac:dyDescent="0.25">
      <c r="A21" s="68"/>
      <c r="B21" s="76">
        <f>+DATE($C$10,8,1)</f>
        <v>43678</v>
      </c>
      <c r="C21" s="75">
        <v>239.60769999999999</v>
      </c>
      <c r="D21" s="68"/>
      <c r="E21" s="68"/>
    </row>
    <row r="22" spans="1:5" ht="20.100000000000001" customHeight="1" x14ac:dyDescent="0.25">
      <c r="A22" s="68"/>
      <c r="B22" s="76">
        <f>+DATE($C$10,9,1)</f>
        <v>43709</v>
      </c>
      <c r="C22" s="75">
        <v>253.71019999999999</v>
      </c>
      <c r="D22" s="68"/>
      <c r="E22" s="68"/>
    </row>
    <row r="23" spans="1:5" ht="20.100000000000001" customHeight="1" x14ac:dyDescent="0.25">
      <c r="A23" s="68"/>
      <c r="B23" s="76">
        <f>+DATE($C$10,10,1)</f>
        <v>43739</v>
      </c>
      <c r="C23" s="75">
        <v>262.06610000000001</v>
      </c>
      <c r="D23" s="68"/>
      <c r="E23" s="68"/>
    </row>
    <row r="24" spans="1:5" ht="20.100000000000001" customHeight="1" x14ac:dyDescent="0.25">
      <c r="A24" s="68"/>
      <c r="B24" s="76">
        <f>+DATE($C$10,11,1)</f>
        <v>43770</v>
      </c>
      <c r="C24" s="75">
        <v>273.2158</v>
      </c>
      <c r="D24" s="68"/>
      <c r="E24" s="68"/>
    </row>
    <row r="25" spans="1:5" ht="20.100000000000001" customHeight="1" x14ac:dyDescent="0.25">
      <c r="A25" s="68"/>
      <c r="B25" s="76">
        <f>+DATE($C$10,12,1)</f>
        <v>43800</v>
      </c>
      <c r="C25" s="75">
        <v>283.44420000000002</v>
      </c>
      <c r="D25" s="68"/>
      <c r="E25" s="68"/>
    </row>
    <row r="26" spans="1:5" ht="20.100000000000001" customHeight="1" x14ac:dyDescent="0.25">
      <c r="A26" s="68"/>
      <c r="B26" s="68"/>
      <c r="C26" s="68"/>
      <c r="D26" s="68"/>
      <c r="E26" s="68"/>
    </row>
    <row r="27" spans="1:5" ht="20.100000000000001" customHeight="1" x14ac:dyDescent="0.25">
      <c r="A27" s="68"/>
      <c r="B27" s="68"/>
      <c r="C27" s="68"/>
      <c r="D27" s="68"/>
      <c r="E27" s="68"/>
    </row>
    <row r="28" spans="1:5" ht="20.100000000000001" customHeight="1" x14ac:dyDescent="0.25">
      <c r="A28" s="68"/>
      <c r="B28" s="68"/>
      <c r="C28" s="68"/>
      <c r="D28" s="68"/>
      <c r="E28" s="68"/>
    </row>
    <row r="29" spans="1:5" ht="20.100000000000001" customHeight="1" x14ac:dyDescent="0.25">
      <c r="A29" s="68"/>
      <c r="B29" s="68"/>
      <c r="C29" s="68"/>
      <c r="D29" s="68"/>
      <c r="E29" s="68"/>
    </row>
    <row r="30" spans="1:5" ht="20.100000000000001" customHeight="1" x14ac:dyDescent="0.25">
      <c r="A30" s="68"/>
      <c r="B30" s="68"/>
      <c r="C30" s="68"/>
      <c r="D30" s="68"/>
      <c r="E30" s="68"/>
    </row>
    <row r="31" spans="1:5" ht="20.100000000000001" customHeight="1" x14ac:dyDescent="0.25">
      <c r="A31" s="68"/>
      <c r="B31" s="68"/>
      <c r="C31" s="68"/>
      <c r="D31" s="68"/>
      <c r="E31" s="68"/>
    </row>
    <row r="32" spans="1:5" ht="20.100000000000001" customHeight="1" x14ac:dyDescent="0.25">
      <c r="A32" s="68"/>
      <c r="B32" s="68"/>
      <c r="C32" s="68"/>
      <c r="D32" s="68"/>
      <c r="E32" s="68"/>
    </row>
    <row r="33" spans="1:5" ht="20.100000000000001" customHeight="1" x14ac:dyDescent="0.25">
      <c r="A33" s="68"/>
      <c r="B33" s="68"/>
      <c r="C33" s="68"/>
      <c r="D33" s="68"/>
      <c r="E33" s="68"/>
    </row>
    <row r="34" spans="1:5" ht="20.100000000000001" customHeight="1" x14ac:dyDescent="0.25">
      <c r="A34" s="68"/>
      <c r="B34" s="68"/>
      <c r="C34" s="68"/>
      <c r="D34" s="68"/>
      <c r="E34" s="68"/>
    </row>
    <row r="35" spans="1:5" ht="20.100000000000001" customHeight="1" x14ac:dyDescent="0.25">
      <c r="A35" s="68"/>
      <c r="B35" s="68"/>
      <c r="C35" s="68"/>
      <c r="D35" s="68"/>
      <c r="E35" s="68"/>
    </row>
    <row r="36" spans="1:5" ht="20.100000000000001" customHeight="1" x14ac:dyDescent="0.25">
      <c r="A36" s="68"/>
      <c r="B36" s="68"/>
      <c r="C36" s="68"/>
      <c r="D36" s="68"/>
      <c r="E36" s="68"/>
    </row>
    <row r="37" spans="1:5" ht="20.100000000000001" customHeight="1" x14ac:dyDescent="0.25">
      <c r="A37" s="68"/>
      <c r="B37" s="68"/>
      <c r="C37" s="68"/>
      <c r="D37" s="68"/>
      <c r="E37" s="68"/>
    </row>
    <row r="38" spans="1:5" ht="20.100000000000001" customHeight="1" x14ac:dyDescent="0.25">
      <c r="A38" s="68"/>
      <c r="B38" s="68"/>
      <c r="C38" s="68"/>
      <c r="D38" s="68"/>
      <c r="E38" s="68"/>
    </row>
    <row r="39" spans="1:5" ht="20.100000000000001" customHeight="1" x14ac:dyDescent="0.25">
      <c r="A39" s="68"/>
      <c r="B39" s="68"/>
      <c r="C39" s="68"/>
      <c r="D39" s="68"/>
      <c r="E39" s="68"/>
    </row>
    <row r="40" spans="1:5" ht="20.100000000000001" customHeight="1" x14ac:dyDescent="0.25">
      <c r="A40" s="68"/>
      <c r="B40" s="68"/>
      <c r="C40" s="68"/>
      <c r="D40" s="68"/>
      <c r="E40" s="68"/>
    </row>
    <row r="41" spans="1:5" ht="20.100000000000001" customHeight="1" x14ac:dyDescent="0.25">
      <c r="A41" s="68"/>
      <c r="B41" s="68"/>
      <c r="C41" s="68"/>
      <c r="D41" s="68"/>
      <c r="E41" s="68"/>
    </row>
    <row r="42" spans="1:5" ht="20.100000000000001" customHeight="1" x14ac:dyDescent="0.25">
      <c r="A42" s="68"/>
      <c r="B42" s="68"/>
      <c r="C42" s="68"/>
      <c r="D42" s="68"/>
      <c r="E42" s="68"/>
    </row>
    <row r="43" spans="1:5" ht="20.100000000000001" customHeight="1" x14ac:dyDescent="0.25">
      <c r="A43" s="68"/>
      <c r="B43" s="68"/>
      <c r="C43" s="68"/>
      <c r="D43" s="68"/>
      <c r="E43" s="68"/>
    </row>
    <row r="44" spans="1:5" ht="20.100000000000001" customHeight="1" x14ac:dyDescent="0.25">
      <c r="A44" s="68"/>
      <c r="B44" s="68"/>
      <c r="C44" s="68"/>
      <c r="D44" s="68"/>
      <c r="E44" s="68"/>
    </row>
    <row r="45" spans="1:5" ht="20.100000000000001" customHeight="1" x14ac:dyDescent="0.25">
      <c r="A45" s="68"/>
      <c r="B45" s="68"/>
      <c r="C45" s="68"/>
      <c r="D45" s="68"/>
      <c r="E45" s="68"/>
    </row>
    <row r="46" spans="1:5" ht="20.100000000000001" customHeight="1" x14ac:dyDescent="0.25">
      <c r="A46" s="68"/>
      <c r="B46" s="68"/>
      <c r="C46" s="68"/>
      <c r="D46" s="68"/>
      <c r="E46" s="68"/>
    </row>
    <row r="47" spans="1:5" ht="20.100000000000001" customHeight="1" x14ac:dyDescent="0.25">
      <c r="A47" s="68"/>
      <c r="B47" s="68"/>
      <c r="C47" s="68"/>
      <c r="D47" s="68"/>
      <c r="E47" s="68"/>
    </row>
    <row r="48" spans="1:5" ht="20.100000000000001" customHeight="1" x14ac:dyDescent="0.25">
      <c r="A48" s="68"/>
      <c r="B48" s="68"/>
      <c r="C48" s="68"/>
      <c r="D48" s="68"/>
      <c r="E48" s="68"/>
    </row>
    <row r="49" spans="1:5" ht="20.100000000000001" customHeight="1" x14ac:dyDescent="0.25">
      <c r="A49" s="68"/>
      <c r="B49" s="68"/>
      <c r="C49" s="68"/>
      <c r="D49" s="68"/>
      <c r="E49" s="68"/>
    </row>
    <row r="50" spans="1:5" ht="20.100000000000001" customHeight="1" x14ac:dyDescent="0.25">
      <c r="A50" s="68"/>
      <c r="B50" s="68"/>
      <c r="C50" s="68"/>
      <c r="D50" s="68"/>
      <c r="E50" s="68"/>
    </row>
    <row r="51" spans="1:5" ht="20.100000000000001" customHeight="1" x14ac:dyDescent="0.25">
      <c r="A51" s="68"/>
      <c r="B51" s="68"/>
      <c r="C51" s="68"/>
      <c r="D51" s="68"/>
      <c r="E51" s="68"/>
    </row>
    <row r="52" spans="1:5" ht="20.100000000000001" customHeight="1" x14ac:dyDescent="0.25">
      <c r="A52" s="68"/>
      <c r="B52" s="68"/>
      <c r="C52" s="68"/>
      <c r="D52" s="68"/>
      <c r="E52" s="68"/>
    </row>
    <row r="53" spans="1:5" ht="20.100000000000001" customHeight="1" x14ac:dyDescent="0.25">
      <c r="A53" s="68"/>
      <c r="B53" s="68"/>
      <c r="C53" s="68"/>
      <c r="D53" s="68"/>
      <c r="E53" s="68"/>
    </row>
    <row r="54" spans="1:5" ht="20.100000000000001" customHeight="1" x14ac:dyDescent="0.25">
      <c r="A54" s="68"/>
      <c r="B54" s="68"/>
      <c r="C54" s="68"/>
      <c r="D54" s="68"/>
      <c r="E54" s="68"/>
    </row>
    <row r="55" spans="1:5" ht="20.100000000000001" customHeight="1" x14ac:dyDescent="0.25">
      <c r="A55" s="68"/>
      <c r="B55" s="68"/>
      <c r="C55" s="68"/>
      <c r="D55" s="68"/>
      <c r="E55" s="68"/>
    </row>
    <row r="56" spans="1:5" ht="20.100000000000001" customHeight="1" x14ac:dyDescent="0.25">
      <c r="A56" s="68"/>
      <c r="B56" s="68"/>
      <c r="C56" s="68"/>
      <c r="D56" s="68"/>
      <c r="E56" s="68"/>
    </row>
    <row r="57" spans="1:5" ht="20.100000000000001" customHeight="1" x14ac:dyDescent="0.25">
      <c r="A57" s="68"/>
      <c r="B57" s="68"/>
      <c r="C57" s="68"/>
      <c r="D57" s="68"/>
      <c r="E57" s="68"/>
    </row>
    <row r="58" spans="1:5" ht="20.100000000000001" customHeight="1" x14ac:dyDescent="0.25">
      <c r="A58" s="68"/>
      <c r="B58" s="68"/>
      <c r="C58" s="68"/>
      <c r="D58" s="68"/>
      <c r="E58" s="68"/>
    </row>
    <row r="59" spans="1:5" ht="20.100000000000001" customHeight="1" x14ac:dyDescent="0.25">
      <c r="A59" s="68"/>
      <c r="B59" s="68"/>
      <c r="C59" s="68"/>
      <c r="D59" s="68"/>
      <c r="E59" s="68"/>
    </row>
    <row r="60" spans="1:5" ht="20.100000000000001" customHeight="1" x14ac:dyDescent="0.25">
      <c r="A60" s="68"/>
      <c r="B60" s="68"/>
      <c r="C60" s="68"/>
      <c r="D60" s="68"/>
      <c r="E60" s="68"/>
    </row>
    <row r="61" spans="1:5" ht="20.100000000000001" customHeight="1" x14ac:dyDescent="0.25">
      <c r="A61" s="68"/>
      <c r="B61" s="68"/>
      <c r="C61" s="68"/>
      <c r="D61" s="68"/>
      <c r="E61" s="68"/>
    </row>
    <row r="62" spans="1:5" ht="20.100000000000001" customHeight="1" x14ac:dyDescent="0.25">
      <c r="A62" s="68"/>
      <c r="B62" s="68"/>
      <c r="C62" s="68"/>
      <c r="D62" s="68"/>
      <c r="E62" s="68"/>
    </row>
    <row r="63" spans="1:5" ht="20.100000000000001" customHeight="1" x14ac:dyDescent="0.25">
      <c r="A63" s="68"/>
      <c r="B63" s="68"/>
      <c r="C63" s="68"/>
      <c r="D63" s="68"/>
      <c r="E63" s="68"/>
    </row>
  </sheetData>
  <mergeCells count="2">
    <mergeCell ref="B8:E8"/>
    <mergeCell ref="O2:O5"/>
  </mergeCells>
  <pageMargins left="0.39370078740157483" right="0.39370078740157483" top="0.39370078740157483" bottom="0.39370078740157483" header="0" footer="0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J60"/>
  <sheetViews>
    <sheetView showGridLines="0" zoomScale="66" zoomScaleNormal="66" workbookViewId="0">
      <selection activeCell="C19" sqref="C19"/>
    </sheetView>
  </sheetViews>
  <sheetFormatPr baseColWidth="10" defaultRowHeight="15" x14ac:dyDescent="0.25"/>
  <cols>
    <col min="1" max="1" width="3.7109375" customWidth="1"/>
    <col min="2" max="2" width="63.7109375" customWidth="1"/>
    <col min="3" max="3" width="18.140625" style="6" bestFit="1" customWidth="1"/>
    <col min="4" max="4" width="4.7109375" customWidth="1"/>
    <col min="5" max="5" width="31.28515625" bestFit="1" customWidth="1"/>
    <col min="6" max="6" width="14" style="6" bestFit="1" customWidth="1"/>
  </cols>
  <sheetData>
    <row r="1" spans="2:10" s="139" customFormat="1" ht="9" customHeight="1" thickBot="1" x14ac:dyDescent="0.3"/>
    <row r="2" spans="2:10" s="139" customFormat="1" ht="9" customHeight="1" x14ac:dyDescent="0.25">
      <c r="J2" s="178" t="str">
        <f>+IPC!$O$2</f>
        <v>Periodo Fiscal 2019</v>
      </c>
    </row>
    <row r="3" spans="2:10" s="139" customFormat="1" ht="9" customHeight="1" x14ac:dyDescent="0.25">
      <c r="J3" s="179"/>
    </row>
    <row r="4" spans="2:10" s="139" customFormat="1" ht="9" customHeight="1" x14ac:dyDescent="0.25">
      <c r="J4" s="179"/>
    </row>
    <row r="5" spans="2:10" s="139" customFormat="1" ht="9" customHeight="1" thickBot="1" x14ac:dyDescent="0.3">
      <c r="J5" s="180"/>
    </row>
    <row r="6" spans="2:10" s="182" customFormat="1" ht="9" customHeight="1" thickBot="1" x14ac:dyDescent="0.3"/>
    <row r="7" spans="2:10" ht="18.75" x14ac:dyDescent="0.3">
      <c r="B7" s="4"/>
      <c r="F7" s="7"/>
      <c r="G7" s="2"/>
    </row>
    <row r="8" spans="2:10" ht="18.75" x14ac:dyDescent="0.3">
      <c r="B8" s="4" t="s">
        <v>16</v>
      </c>
      <c r="F8" s="110" t="s">
        <v>11</v>
      </c>
      <c r="G8" s="111" t="s">
        <v>6</v>
      </c>
    </row>
    <row r="10" spans="2:10" ht="15.75" x14ac:dyDescent="0.25">
      <c r="B10" s="5" t="s">
        <v>44</v>
      </c>
    </row>
    <row r="12" spans="2:10" x14ac:dyDescent="0.25">
      <c r="B12" s="3" t="s">
        <v>28</v>
      </c>
      <c r="E12" s="3" t="s">
        <v>29</v>
      </c>
    </row>
    <row r="14" spans="2:10" x14ac:dyDescent="0.25">
      <c r="B14" s="3" t="s">
        <v>17</v>
      </c>
      <c r="E14" s="3" t="s">
        <v>30</v>
      </c>
    </row>
    <row r="15" spans="2:10" ht="12" customHeight="1" x14ac:dyDescent="0.25">
      <c r="B15" t="s">
        <v>18</v>
      </c>
      <c r="C15" s="77">
        <v>100000</v>
      </c>
      <c r="E15" t="s">
        <v>31</v>
      </c>
      <c r="F15" s="77"/>
    </row>
    <row r="16" spans="2:10" x14ac:dyDescent="0.25">
      <c r="B16" t="s">
        <v>19</v>
      </c>
      <c r="C16" s="77">
        <v>0</v>
      </c>
      <c r="E16" t="s">
        <v>32</v>
      </c>
      <c r="F16" s="77"/>
    </row>
    <row r="17" spans="2:6" x14ac:dyDescent="0.25">
      <c r="B17" t="s">
        <v>20</v>
      </c>
      <c r="C17" s="77">
        <v>0</v>
      </c>
      <c r="E17" t="s">
        <v>48</v>
      </c>
      <c r="F17" s="77">
        <v>0</v>
      </c>
    </row>
    <row r="18" spans="2:6" x14ac:dyDescent="0.25">
      <c r="B18" t="s">
        <v>21</v>
      </c>
      <c r="C18" s="77">
        <v>0</v>
      </c>
      <c r="E18" t="s">
        <v>52</v>
      </c>
      <c r="F18" s="77">
        <v>0</v>
      </c>
    </row>
    <row r="19" spans="2:6" x14ac:dyDescent="0.25">
      <c r="B19" t="s">
        <v>52</v>
      </c>
      <c r="C19" s="77">
        <v>0</v>
      </c>
      <c r="F19" s="77"/>
    </row>
    <row r="20" spans="2:6" x14ac:dyDescent="0.25">
      <c r="C20" s="77"/>
      <c r="E20" s="3" t="s">
        <v>33</v>
      </c>
      <c r="F20" s="77"/>
    </row>
    <row r="21" spans="2:6" x14ac:dyDescent="0.25">
      <c r="B21" s="3" t="s">
        <v>22</v>
      </c>
      <c r="C21" s="77"/>
      <c r="E21" t="s">
        <v>34</v>
      </c>
      <c r="F21" s="77"/>
    </row>
    <row r="22" spans="2:6" x14ac:dyDescent="0.25">
      <c r="B22" t="s">
        <v>23</v>
      </c>
      <c r="C22" s="77">
        <v>0</v>
      </c>
      <c r="E22" t="s">
        <v>35</v>
      </c>
      <c r="F22" s="77"/>
    </row>
    <row r="23" spans="2:6" x14ac:dyDescent="0.25">
      <c r="B23" t="s">
        <v>24</v>
      </c>
      <c r="C23" s="77">
        <v>0</v>
      </c>
      <c r="E23" t="s">
        <v>36</v>
      </c>
      <c r="F23" s="77"/>
    </row>
    <row r="24" spans="2:6" x14ac:dyDescent="0.25">
      <c r="B24" t="s">
        <v>59</v>
      </c>
      <c r="C24" s="77">
        <v>0</v>
      </c>
      <c r="E24" t="s">
        <v>37</v>
      </c>
      <c r="F24" s="77"/>
    </row>
    <row r="25" spans="2:6" ht="15.75" customHeight="1" x14ac:dyDescent="0.25">
      <c r="B25" t="s">
        <v>55</v>
      </c>
      <c r="C25" s="77">
        <v>0</v>
      </c>
      <c r="E25" t="s">
        <v>38</v>
      </c>
      <c r="F25" s="77"/>
    </row>
    <row r="26" spans="2:6" ht="15.75" customHeight="1" x14ac:dyDescent="0.25">
      <c r="B26" t="s">
        <v>52</v>
      </c>
      <c r="C26" s="77"/>
      <c r="E26" t="s">
        <v>52</v>
      </c>
      <c r="F26" s="77"/>
    </row>
    <row r="27" spans="2:6" ht="15.75" customHeight="1" x14ac:dyDescent="0.25">
      <c r="C27" s="77"/>
      <c r="F27" s="77"/>
    </row>
    <row r="28" spans="2:6" x14ac:dyDescent="0.25">
      <c r="B28" s="3" t="s">
        <v>25</v>
      </c>
      <c r="C28" s="77"/>
      <c r="F28" s="77"/>
    </row>
    <row r="29" spans="2:6" x14ac:dyDescent="0.25">
      <c r="B29" t="s">
        <v>26</v>
      </c>
      <c r="C29" s="77">
        <v>0</v>
      </c>
      <c r="E29" s="3" t="s">
        <v>39</v>
      </c>
      <c r="F29" s="77"/>
    </row>
    <row r="30" spans="2:6" x14ac:dyDescent="0.25">
      <c r="B30" t="s">
        <v>48</v>
      </c>
      <c r="C30" s="77">
        <v>0</v>
      </c>
      <c r="E30" t="s">
        <v>40</v>
      </c>
      <c r="F30" s="77"/>
    </row>
    <row r="31" spans="2:6" x14ac:dyDescent="0.25">
      <c r="B31" t="s">
        <v>54</v>
      </c>
      <c r="C31" s="77">
        <v>0</v>
      </c>
      <c r="E31" t="s">
        <v>41</v>
      </c>
      <c r="F31" s="77"/>
    </row>
    <row r="32" spans="2:6" x14ac:dyDescent="0.25">
      <c r="B32" t="s">
        <v>131</v>
      </c>
      <c r="C32" s="77">
        <v>0</v>
      </c>
      <c r="E32" t="s">
        <v>52</v>
      </c>
      <c r="F32" s="77"/>
    </row>
    <row r="33" spans="2:7" x14ac:dyDescent="0.25">
      <c r="B33" t="s">
        <v>130</v>
      </c>
      <c r="C33" s="77">
        <v>0</v>
      </c>
      <c r="F33" s="77"/>
    </row>
    <row r="34" spans="2:7" x14ac:dyDescent="0.25">
      <c r="B34" t="s">
        <v>52</v>
      </c>
      <c r="C34" s="77"/>
      <c r="F34" s="77"/>
    </row>
    <row r="35" spans="2:7" x14ac:dyDescent="0.25">
      <c r="C35" s="77"/>
      <c r="F35" s="77"/>
    </row>
    <row r="36" spans="2:7" x14ac:dyDescent="0.25">
      <c r="B36" s="3" t="s">
        <v>27</v>
      </c>
      <c r="C36" s="77"/>
      <c r="E36" s="3" t="s">
        <v>42</v>
      </c>
      <c r="F36" s="77"/>
    </row>
    <row r="37" spans="2:7" x14ac:dyDescent="0.25">
      <c r="B37" t="s">
        <v>53</v>
      </c>
      <c r="C37" s="77">
        <v>0</v>
      </c>
      <c r="E37" t="s">
        <v>43</v>
      </c>
      <c r="F37" s="77"/>
    </row>
    <row r="38" spans="2:7" x14ac:dyDescent="0.25">
      <c r="B38" t="s">
        <v>52</v>
      </c>
      <c r="C38" s="77">
        <v>0</v>
      </c>
      <c r="E38" t="s">
        <v>52</v>
      </c>
      <c r="F38" s="77"/>
    </row>
    <row r="39" spans="2:7" x14ac:dyDescent="0.25">
      <c r="C39" s="77"/>
      <c r="F39" s="77"/>
    </row>
    <row r="40" spans="2:7" x14ac:dyDescent="0.25">
      <c r="B40" s="3" t="s">
        <v>46</v>
      </c>
      <c r="C40" s="77"/>
      <c r="E40" s="3" t="s">
        <v>64</v>
      </c>
      <c r="F40" s="77"/>
    </row>
    <row r="41" spans="2:7" x14ac:dyDescent="0.25">
      <c r="B41" t="s">
        <v>128</v>
      </c>
      <c r="C41" s="77">
        <v>0</v>
      </c>
      <c r="E41" t="s">
        <v>47</v>
      </c>
      <c r="F41" s="77">
        <v>0</v>
      </c>
      <c r="G41" s="6"/>
    </row>
    <row r="42" spans="2:7" x14ac:dyDescent="0.25">
      <c r="B42" t="s">
        <v>129</v>
      </c>
      <c r="C42" s="77">
        <v>0</v>
      </c>
      <c r="F42" s="77"/>
      <c r="G42" s="6"/>
    </row>
    <row r="43" spans="2:7" x14ac:dyDescent="0.25">
      <c r="B43" t="s">
        <v>135</v>
      </c>
      <c r="C43" s="77">
        <v>0</v>
      </c>
      <c r="E43" t="s">
        <v>63</v>
      </c>
      <c r="F43" s="77"/>
      <c r="G43" s="6"/>
    </row>
    <row r="44" spans="2:7" x14ac:dyDescent="0.25">
      <c r="B44" t="s">
        <v>127</v>
      </c>
      <c r="C44" s="77">
        <v>0</v>
      </c>
      <c r="E44" t="s">
        <v>52</v>
      </c>
      <c r="F44" s="77">
        <v>0</v>
      </c>
      <c r="G44" s="6"/>
    </row>
    <row r="45" spans="2:7" x14ac:dyDescent="0.25">
      <c r="B45" t="s">
        <v>133</v>
      </c>
      <c r="C45" s="77">
        <v>0</v>
      </c>
      <c r="F45" s="77"/>
      <c r="G45" s="6"/>
    </row>
    <row r="46" spans="2:7" x14ac:dyDescent="0.25">
      <c r="B46" t="s">
        <v>52</v>
      </c>
      <c r="C46" s="77">
        <v>0</v>
      </c>
      <c r="F46" s="77"/>
    </row>
    <row r="47" spans="2:7" x14ac:dyDescent="0.25">
      <c r="C47" s="77"/>
      <c r="F47" s="77"/>
    </row>
    <row r="48" spans="2:7" x14ac:dyDescent="0.25">
      <c r="B48" s="3" t="s">
        <v>60</v>
      </c>
      <c r="C48" s="77"/>
      <c r="F48" s="77"/>
    </row>
    <row r="49" spans="2:6" x14ac:dyDescent="0.25">
      <c r="B49" t="s">
        <v>61</v>
      </c>
      <c r="C49" s="77">
        <v>0</v>
      </c>
      <c r="F49" s="77"/>
    </row>
    <row r="50" spans="2:6" x14ac:dyDescent="0.25">
      <c r="B50" t="s">
        <v>62</v>
      </c>
      <c r="C50" s="77">
        <v>0</v>
      </c>
      <c r="F50" s="77"/>
    </row>
    <row r="51" spans="2:6" x14ac:dyDescent="0.25">
      <c r="C51" s="77"/>
      <c r="F51" s="77"/>
    </row>
    <row r="52" spans="2:6" ht="15.75" thickBot="1" x14ac:dyDescent="0.3">
      <c r="B52" s="1" t="s">
        <v>45</v>
      </c>
      <c r="C52" s="78">
        <f>SUM(C14:C51)</f>
        <v>100000</v>
      </c>
      <c r="D52" s="1"/>
      <c r="E52" s="1"/>
      <c r="F52" s="78">
        <f>SUM(F14:F51)</f>
        <v>0</v>
      </c>
    </row>
    <row r="53" spans="2:6" ht="15.75" thickTop="1" x14ac:dyDescent="0.25"/>
    <row r="54" spans="2:6" x14ac:dyDescent="0.25">
      <c r="B54" t="s">
        <v>56</v>
      </c>
    </row>
    <row r="56" spans="2:6" x14ac:dyDescent="0.25">
      <c r="B56" t="s">
        <v>57</v>
      </c>
    </row>
    <row r="57" spans="2:6" x14ac:dyDescent="0.25">
      <c r="B57" t="s">
        <v>58</v>
      </c>
    </row>
    <row r="58" spans="2:6" x14ac:dyDescent="0.25">
      <c r="B58" t="s">
        <v>136</v>
      </c>
    </row>
    <row r="59" spans="2:6" x14ac:dyDescent="0.25">
      <c r="B59" t="s">
        <v>134</v>
      </c>
    </row>
    <row r="60" spans="2:6" x14ac:dyDescent="0.25">
      <c r="B60" t="s">
        <v>132</v>
      </c>
    </row>
  </sheetData>
  <mergeCells count="1">
    <mergeCell ref="J2:J5"/>
  </mergeCells>
  <pageMargins left="0.39370078740157483" right="0.39370078740157483" top="0.39370078740157483" bottom="0.39370078740157483" header="0" footer="0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L23"/>
  <sheetViews>
    <sheetView showGridLines="0" zoomScaleNormal="100" workbookViewId="0">
      <selection activeCell="D9" sqref="D9"/>
    </sheetView>
  </sheetViews>
  <sheetFormatPr baseColWidth="10" defaultRowHeight="15" x14ac:dyDescent="0.25"/>
  <cols>
    <col min="1" max="1" width="3.7109375" style="112" customWidth="1"/>
    <col min="2" max="2" width="48.7109375" style="112" bestFit="1" customWidth="1"/>
    <col min="3" max="3" width="13.28515625" style="112" customWidth="1"/>
    <col min="4" max="4" width="19.140625" style="113" customWidth="1"/>
    <col min="5" max="5" width="10.5703125" style="112" bestFit="1" customWidth="1"/>
    <col min="6" max="16384" width="11.42578125" style="112"/>
  </cols>
  <sheetData>
    <row r="1" spans="2:12" s="177" customFormat="1" ht="9" customHeight="1" thickBot="1" x14ac:dyDescent="0.3"/>
    <row r="2" spans="2:12" s="177" customFormat="1" ht="9" customHeight="1" x14ac:dyDescent="0.25">
      <c r="L2" s="178" t="str">
        <f>+IPC!$O$2</f>
        <v>Periodo Fiscal 2019</v>
      </c>
    </row>
    <row r="3" spans="2:12" s="177" customFormat="1" ht="9" customHeight="1" x14ac:dyDescent="0.25">
      <c r="L3" s="179"/>
    </row>
    <row r="4" spans="2:12" s="177" customFormat="1" ht="9" customHeight="1" x14ac:dyDescent="0.25">
      <c r="L4" s="179"/>
    </row>
    <row r="5" spans="2:12" s="177" customFormat="1" ht="9" customHeight="1" thickBot="1" x14ac:dyDescent="0.3">
      <c r="L5" s="180"/>
    </row>
    <row r="6" spans="2:12" s="181" customFormat="1" ht="9" customHeight="1" thickBot="1" x14ac:dyDescent="0.3"/>
    <row r="7" spans="2:12" ht="6" customHeight="1" x14ac:dyDescent="0.25"/>
    <row r="8" spans="2:12" x14ac:dyDescent="0.25">
      <c r="B8" s="147" t="s">
        <v>7</v>
      </c>
      <c r="C8" s="147"/>
      <c r="F8" s="114" t="s">
        <v>11</v>
      </c>
      <c r="G8" s="115" t="s">
        <v>10</v>
      </c>
    </row>
    <row r="9" spans="2:12" x14ac:dyDescent="0.25">
      <c r="G9" s="80"/>
    </row>
    <row r="10" spans="2:12" x14ac:dyDescent="0.25">
      <c r="B10" s="116"/>
      <c r="G10" s="80"/>
    </row>
    <row r="11" spans="2:12" ht="15.75" thickBot="1" x14ac:dyDescent="0.3">
      <c r="C11" s="117"/>
    </row>
    <row r="12" spans="2:12" ht="15.75" thickBot="1" x14ac:dyDescent="0.3">
      <c r="B12" s="118" t="s">
        <v>0</v>
      </c>
      <c r="C12" s="118" t="s">
        <v>5</v>
      </c>
      <c r="D12" s="119" t="s">
        <v>4</v>
      </c>
      <c r="E12" s="118" t="s">
        <v>126</v>
      </c>
    </row>
    <row r="13" spans="2:12" x14ac:dyDescent="0.25">
      <c r="B13" s="120" t="str">
        <f>"Ajuste por Inflación Estático - Periodo Fiscal "&amp;IPC!$C$10</f>
        <v>Ajuste por Inflación Estático - Periodo Fiscal 2019</v>
      </c>
      <c r="C13" s="121" t="s">
        <v>124</v>
      </c>
      <c r="D13" s="122">
        <f>-'AxII Estatico'!$E$44</f>
        <v>-53830</v>
      </c>
      <c r="E13" s="123" t="str">
        <f>+IF(D13=0,"",IF(D13&gt;0,"Ganancia","Perdida"))</f>
        <v>Perdida</v>
      </c>
    </row>
    <row r="14" spans="2:12" x14ac:dyDescent="0.25">
      <c r="B14" s="120" t="str">
        <f>"Ajuste por Inflación Dinamico - Periodo Fiscal "&amp;IPC!$C$10</f>
        <v>Ajuste por Inflación Dinamico - Periodo Fiscal 2019</v>
      </c>
      <c r="C14" s="121" t="s">
        <v>125</v>
      </c>
      <c r="D14" s="122">
        <f>+'AxII Dinámico'!O28</f>
        <v>0</v>
      </c>
      <c r="E14" s="123" t="str">
        <f>+IF(D14=0,"",IF(D14&gt;0,"Ganancia","Perdida"))</f>
        <v/>
      </c>
    </row>
    <row r="15" spans="2:12" ht="15.75" thickBot="1" x14ac:dyDescent="0.3">
      <c r="B15" s="124" t="str">
        <f>"Ajuste por Inflación Impositivo - Periodo Fiscal "&amp;IPC!$C$10</f>
        <v>Ajuste por Inflación Impositivo - Periodo Fiscal 2019</v>
      </c>
      <c r="C15" s="124"/>
      <c r="D15" s="125">
        <f>SUM(D13:D14)</f>
        <v>-53830</v>
      </c>
      <c r="E15" s="126" t="str">
        <f>+IF(D15=0,"",IF(D15&gt;0,"Ganancia","Perdida"))</f>
        <v>Perdida</v>
      </c>
    </row>
    <row r="16" spans="2:12" ht="16.5" thickTop="1" thickBot="1" x14ac:dyDescent="0.3">
      <c r="B16" s="144" t="s">
        <v>8</v>
      </c>
      <c r="C16" s="145"/>
      <c r="D16" s="146"/>
      <c r="E16" s="120"/>
    </row>
    <row r="17" spans="2:5" x14ac:dyDescent="0.25">
      <c r="B17" s="127" t="str">
        <f>+"Periodo fiscal "&amp;IPC!$C$10+0</f>
        <v>Periodo fiscal 2019</v>
      </c>
      <c r="C17" s="127"/>
      <c r="D17" s="128">
        <f t="shared" ref="D17:D22" si="0">+ROUNDDOWN($D$15/6,2)</f>
        <v>-8971.66</v>
      </c>
      <c r="E17" s="129"/>
    </row>
    <row r="18" spans="2:5" x14ac:dyDescent="0.25">
      <c r="B18" s="130" t="str">
        <f>+"Periodo fiscal "&amp;IPC!$C$10+1</f>
        <v>Periodo fiscal 2020</v>
      </c>
      <c r="C18" s="130"/>
      <c r="D18" s="131">
        <f t="shared" si="0"/>
        <v>-8971.66</v>
      </c>
      <c r="E18" s="120"/>
    </row>
    <row r="19" spans="2:5" x14ac:dyDescent="0.25">
      <c r="B19" s="130" t="str">
        <f>+"Periodo fiscal "&amp;IPC!$C$10+2</f>
        <v>Periodo fiscal 2021</v>
      </c>
      <c r="C19" s="130"/>
      <c r="D19" s="131">
        <f t="shared" si="0"/>
        <v>-8971.66</v>
      </c>
      <c r="E19" s="120"/>
    </row>
    <row r="20" spans="2:5" x14ac:dyDescent="0.25">
      <c r="B20" s="130" t="str">
        <f>+"Periodo fiscal "&amp;IPC!$C$10+3</f>
        <v>Periodo fiscal 2022</v>
      </c>
      <c r="C20" s="130"/>
      <c r="D20" s="132">
        <f t="shared" si="0"/>
        <v>-8971.66</v>
      </c>
      <c r="E20" s="120"/>
    </row>
    <row r="21" spans="2:5" x14ac:dyDescent="0.25">
      <c r="B21" s="130" t="str">
        <f>+"Periodo fiscal "&amp;IPC!$C$10+4</f>
        <v>Periodo fiscal 2023</v>
      </c>
      <c r="C21" s="130"/>
      <c r="D21" s="132">
        <f t="shared" si="0"/>
        <v>-8971.66</v>
      </c>
      <c r="E21" s="120"/>
    </row>
    <row r="22" spans="2:5" ht="15.75" thickBot="1" x14ac:dyDescent="0.3">
      <c r="B22" s="133" t="str">
        <f>+"Periodo fiscal "&amp;IPC!$C$10+5</f>
        <v>Periodo fiscal 2024</v>
      </c>
      <c r="C22" s="133"/>
      <c r="D22" s="134">
        <f t="shared" si="0"/>
        <v>-8971.66</v>
      </c>
      <c r="E22" s="135"/>
    </row>
    <row r="23" spans="2:5" x14ac:dyDescent="0.25">
      <c r="B23" s="79"/>
      <c r="C23" s="79"/>
      <c r="D23" s="136">
        <f>+ROUND(D15-SUM(D17:D22),0)</f>
        <v>0</v>
      </c>
      <c r="E23" s="137" t="s">
        <v>9</v>
      </c>
    </row>
  </sheetData>
  <mergeCells count="3">
    <mergeCell ref="B16:D16"/>
    <mergeCell ref="B8:C8"/>
    <mergeCell ref="L2:L5"/>
  </mergeCells>
  <conditionalFormatting sqref="C17:C22 C15 E16:E22">
    <cfRule type="containsBlanks" dxfId="0" priority="1">
      <formula>LEN(TRIM(C15))=0</formula>
    </cfRule>
  </conditionalFormatting>
  <hyperlinks>
    <hyperlink ref="C13" location="'AxII Estatico'!E38" display="AxI E"/>
    <hyperlink ref="C14" location="'AxII Dinámico'!O23" display=" AxI D"/>
  </hyperlinks>
  <pageMargins left="0.39370078740157483" right="0.39370078740157483" top="0.39370078740157483" bottom="0.39370078740157483" header="0" footer="0"/>
  <pageSetup paperSize="9"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H45"/>
  <sheetViews>
    <sheetView showGridLines="0" zoomScale="70" zoomScaleNormal="70" workbookViewId="0">
      <pane ySplit="10" topLeftCell="A11" activePane="bottomLeft" state="frozen"/>
      <selection pane="bottomLeft" activeCell="I3" sqref="I3"/>
    </sheetView>
  </sheetViews>
  <sheetFormatPr baseColWidth="10" defaultRowHeight="18" customHeight="1" x14ac:dyDescent="0.25"/>
  <cols>
    <col min="1" max="1" width="3.7109375" style="9" customWidth="1"/>
    <col min="2" max="2" width="22.28515625" style="9" customWidth="1"/>
    <col min="3" max="3" width="77.28515625" style="9" customWidth="1"/>
    <col min="4" max="4" width="22.7109375" style="9" customWidth="1"/>
    <col min="5" max="5" width="21.28515625" style="90" customWidth="1"/>
    <col min="6" max="6" width="5.5703125" style="9" bestFit="1" customWidth="1"/>
    <col min="7" max="7" width="8.85546875" style="9" bestFit="1" customWidth="1"/>
    <col min="8" max="16384" width="11.42578125" style="9"/>
  </cols>
  <sheetData>
    <row r="1" spans="2:8" s="139" customFormat="1" ht="9" customHeight="1" thickBot="1" x14ac:dyDescent="0.3"/>
    <row r="2" spans="2:8" s="139" customFormat="1" ht="9" customHeight="1" x14ac:dyDescent="0.25">
      <c r="H2" s="178" t="str">
        <f>+IPC!$O$2</f>
        <v>Periodo Fiscal 2019</v>
      </c>
    </row>
    <row r="3" spans="2:8" s="139" customFormat="1" ht="9" customHeight="1" x14ac:dyDescent="0.25">
      <c r="H3" s="179"/>
    </row>
    <row r="4" spans="2:8" s="139" customFormat="1" ht="9" customHeight="1" x14ac:dyDescent="0.25">
      <c r="H4" s="179"/>
    </row>
    <row r="5" spans="2:8" s="139" customFormat="1" ht="9" customHeight="1" thickBot="1" x14ac:dyDescent="0.3">
      <c r="H5" s="180"/>
    </row>
    <row r="6" spans="2:8" s="182" customFormat="1" ht="9" customHeight="1" thickBot="1" x14ac:dyDescent="0.3"/>
    <row r="7" spans="2:8" s="88" customFormat="1" ht="9" customHeight="1" x14ac:dyDescent="0.25">
      <c r="E7" s="89"/>
    </row>
    <row r="8" spans="2:8" ht="18" customHeight="1" x14ac:dyDescent="0.25">
      <c r="B8" s="10" t="s">
        <v>101</v>
      </c>
      <c r="C8" s="10"/>
      <c r="D8" s="110" t="s">
        <v>102</v>
      </c>
      <c r="E8" s="111" t="s">
        <v>12</v>
      </c>
      <c r="G8" s="15"/>
    </row>
    <row r="9" spans="2:8" ht="18" customHeight="1" thickBot="1" x14ac:dyDescent="0.3">
      <c r="B9" s="10"/>
      <c r="C9" s="10"/>
      <c r="F9" s="91"/>
      <c r="G9" s="15"/>
    </row>
    <row r="10" spans="2:8" ht="18" customHeight="1" thickBot="1" x14ac:dyDescent="0.3">
      <c r="B10" s="141" t="s">
        <v>0</v>
      </c>
      <c r="C10" s="142"/>
      <c r="D10" s="17" t="s">
        <v>5</v>
      </c>
      <c r="E10" s="92" t="s">
        <v>4</v>
      </c>
      <c r="F10" s="93"/>
      <c r="G10" s="93"/>
    </row>
    <row r="11" spans="2:8" ht="18" customHeight="1" thickBot="1" x14ac:dyDescent="0.3">
      <c r="B11" s="165" t="str">
        <f>+"Determinación del activo computable al inicio del Periodo Fiscal "&amp;IPC!$C$10</f>
        <v>Determinación del activo computable al inicio del Periodo Fiscal 2019</v>
      </c>
      <c r="C11" s="166"/>
      <c r="D11" s="166"/>
      <c r="E11" s="167"/>
      <c r="F11" s="91"/>
      <c r="G11" s="91"/>
    </row>
    <row r="12" spans="2:8" ht="18" customHeight="1" x14ac:dyDescent="0.25">
      <c r="B12" s="158" t="str">
        <f>+Unipersonal!B12</f>
        <v>ACTIVO IMPOSITIVO</v>
      </c>
      <c r="C12" s="159"/>
      <c r="D12" s="91" t="s">
        <v>6</v>
      </c>
      <c r="E12" s="94">
        <f>+Unipersonal!C52</f>
        <v>100000</v>
      </c>
    </row>
    <row r="13" spans="2:8" ht="18" customHeight="1" x14ac:dyDescent="0.25">
      <c r="B13" s="160" t="s">
        <v>1</v>
      </c>
      <c r="C13" s="161"/>
      <c r="D13" s="44"/>
      <c r="E13" s="95"/>
    </row>
    <row r="14" spans="2:8" ht="28.5" customHeight="1" x14ac:dyDescent="0.25">
      <c r="B14" s="96" t="s">
        <v>67</v>
      </c>
      <c r="C14" s="97" t="s">
        <v>89</v>
      </c>
      <c r="D14" s="44"/>
      <c r="E14" s="95">
        <f>-Unipersonal!C43</f>
        <v>0</v>
      </c>
    </row>
    <row r="15" spans="2:8" ht="18" customHeight="1" x14ac:dyDescent="0.25">
      <c r="B15" s="96" t="s">
        <v>68</v>
      </c>
      <c r="C15" s="97" t="s">
        <v>86</v>
      </c>
      <c r="D15" s="44"/>
      <c r="E15" s="95">
        <f>-Unipersonal!C44</f>
        <v>0</v>
      </c>
    </row>
    <row r="16" spans="2:8" ht="18" customHeight="1" x14ac:dyDescent="0.25">
      <c r="B16" s="96" t="s">
        <v>69</v>
      </c>
      <c r="C16" s="97" t="s">
        <v>88</v>
      </c>
      <c r="D16" s="44"/>
      <c r="E16" s="95">
        <f>-Unipersonal!C41-Unipersonal!C46</f>
        <v>0</v>
      </c>
    </row>
    <row r="17" spans="2:6" ht="18" customHeight="1" x14ac:dyDescent="0.25">
      <c r="B17" s="96" t="s">
        <v>70</v>
      </c>
      <c r="C17" s="97" t="s">
        <v>87</v>
      </c>
      <c r="D17" s="44"/>
      <c r="E17" s="95">
        <f>-Unipersonal!C42</f>
        <v>0</v>
      </c>
    </row>
    <row r="18" spans="2:6" ht="18" customHeight="1" x14ac:dyDescent="0.25">
      <c r="B18" s="96" t="s">
        <v>71</v>
      </c>
      <c r="C18" s="97" t="s">
        <v>90</v>
      </c>
      <c r="D18" s="44"/>
      <c r="E18" s="95">
        <f>-Unipersonal!C50</f>
        <v>0</v>
      </c>
    </row>
    <row r="19" spans="2:6" ht="18" customHeight="1" x14ac:dyDescent="0.25">
      <c r="B19" s="96" t="s">
        <v>72</v>
      </c>
      <c r="C19" s="97" t="s">
        <v>91</v>
      </c>
      <c r="D19" s="44"/>
      <c r="E19" s="95"/>
    </row>
    <row r="20" spans="2:6" ht="18" customHeight="1" x14ac:dyDescent="0.25">
      <c r="B20" s="96" t="s">
        <v>73</v>
      </c>
      <c r="C20" s="97" t="s">
        <v>92</v>
      </c>
      <c r="D20" s="44"/>
      <c r="E20" s="95">
        <f>-Unipersonal!C24</f>
        <v>0</v>
      </c>
    </row>
    <row r="21" spans="2:6" ht="18" customHeight="1" x14ac:dyDescent="0.25">
      <c r="B21" s="96" t="s">
        <v>74</v>
      </c>
      <c r="C21" s="97" t="s">
        <v>93</v>
      </c>
      <c r="D21" s="44"/>
      <c r="E21" s="95">
        <f>-Unipersonal!C25</f>
        <v>0</v>
      </c>
    </row>
    <row r="22" spans="2:6" ht="18" customHeight="1" x14ac:dyDescent="0.25">
      <c r="B22" s="96" t="s">
        <v>75</v>
      </c>
      <c r="C22" s="97" t="s">
        <v>94</v>
      </c>
      <c r="D22" s="44"/>
      <c r="E22" s="95">
        <f>-Unipersonal!C45</f>
        <v>0</v>
      </c>
    </row>
    <row r="23" spans="2:6" ht="18" customHeight="1" x14ac:dyDescent="0.25">
      <c r="B23" s="96" t="s">
        <v>76</v>
      </c>
      <c r="C23" s="97" t="s">
        <v>95</v>
      </c>
      <c r="D23" s="44"/>
      <c r="E23" s="95">
        <f>-Unipersonal!C31</f>
        <v>0</v>
      </c>
    </row>
    <row r="24" spans="2:6" ht="18" customHeight="1" x14ac:dyDescent="0.25">
      <c r="B24" s="96" t="s">
        <v>77</v>
      </c>
      <c r="C24" s="183" t="s">
        <v>96</v>
      </c>
      <c r="D24" s="184"/>
      <c r="E24" s="185"/>
    </row>
    <row r="25" spans="2:6" ht="18" customHeight="1" x14ac:dyDescent="0.25">
      <c r="B25" s="96" t="s">
        <v>78</v>
      </c>
      <c r="C25" s="183" t="s">
        <v>97</v>
      </c>
      <c r="D25" s="184"/>
      <c r="E25" s="185"/>
    </row>
    <row r="26" spans="2:6" ht="44.25" customHeight="1" x14ac:dyDescent="0.25">
      <c r="B26" s="96" t="s">
        <v>79</v>
      </c>
      <c r="C26" s="97" t="s">
        <v>98</v>
      </c>
      <c r="D26" s="44"/>
      <c r="E26" s="95">
        <f>-Unipersonal!C30</f>
        <v>0</v>
      </c>
    </row>
    <row r="27" spans="2:6" ht="60" x14ac:dyDescent="0.25">
      <c r="B27" s="96" t="s">
        <v>80</v>
      </c>
      <c r="C27" s="186" t="s">
        <v>81</v>
      </c>
      <c r="D27" s="187"/>
      <c r="E27" s="188"/>
    </row>
    <row r="28" spans="2:6" ht="33" customHeight="1" x14ac:dyDescent="0.25">
      <c r="B28" s="96" t="s">
        <v>82</v>
      </c>
      <c r="C28" s="186" t="s">
        <v>83</v>
      </c>
      <c r="D28" s="189"/>
      <c r="E28" s="188"/>
    </row>
    <row r="29" spans="2:6" ht="29.25" customHeight="1" x14ac:dyDescent="0.25">
      <c r="B29" s="96" t="s">
        <v>84</v>
      </c>
      <c r="C29" s="97" t="s">
        <v>85</v>
      </c>
      <c r="D29" s="44"/>
      <c r="E29" s="95">
        <f>-Unipersonal!C33</f>
        <v>0</v>
      </c>
    </row>
    <row r="30" spans="2:6" ht="31.5" customHeight="1" x14ac:dyDescent="0.25">
      <c r="B30" s="170" t="s">
        <v>103</v>
      </c>
      <c r="C30" s="174"/>
      <c r="D30" s="44"/>
      <c r="E30" s="138"/>
    </row>
    <row r="31" spans="2:6" ht="33" customHeight="1" thickBot="1" x14ac:dyDescent="0.3">
      <c r="B31" s="168" t="s">
        <v>104</v>
      </c>
      <c r="C31" s="175"/>
      <c r="D31" s="98"/>
      <c r="E31" s="95"/>
    </row>
    <row r="32" spans="2:6" ht="18" customHeight="1" thickTop="1" thickBot="1" x14ac:dyDescent="0.3">
      <c r="B32" s="162" t="s">
        <v>2</v>
      </c>
      <c r="C32" s="163"/>
      <c r="D32" s="99"/>
      <c r="E32" s="100">
        <f>SUM(E12:E31)</f>
        <v>100000</v>
      </c>
      <c r="F32" s="44" t="s">
        <v>14</v>
      </c>
    </row>
    <row r="33" spans="2:6" ht="18" customHeight="1" thickBot="1" x14ac:dyDescent="0.3">
      <c r="B33" s="165" t="str">
        <f>"Determinación del pasivo computable al inicio del Periodo Fiscal "&amp;IPC!$C$10</f>
        <v>Determinación del pasivo computable al inicio del Periodo Fiscal 2019</v>
      </c>
      <c r="C33" s="166"/>
      <c r="D33" s="166"/>
      <c r="E33" s="167"/>
      <c r="F33" s="44"/>
    </row>
    <row r="34" spans="2:6" ht="18" customHeight="1" x14ac:dyDescent="0.25">
      <c r="B34" s="158" t="str">
        <f>+Unipersonal!E12</f>
        <v>PASIVO IMPOSITIVO</v>
      </c>
      <c r="C34" s="164"/>
      <c r="D34" s="101" t="s">
        <v>6</v>
      </c>
      <c r="E34" s="102">
        <f>+Unipersonal!F52</f>
        <v>0</v>
      </c>
      <c r="F34" s="44"/>
    </row>
    <row r="35" spans="2:6" ht="18" customHeight="1" x14ac:dyDescent="0.25">
      <c r="B35" s="160" t="s">
        <v>49</v>
      </c>
      <c r="C35" s="176"/>
      <c r="D35" s="103"/>
      <c r="E35" s="102"/>
      <c r="F35" s="44"/>
    </row>
    <row r="36" spans="2:6" ht="18" customHeight="1" x14ac:dyDescent="0.25">
      <c r="B36" s="170" t="s">
        <v>99</v>
      </c>
      <c r="C36" s="171"/>
      <c r="D36" s="103"/>
      <c r="E36" s="102"/>
    </row>
    <row r="37" spans="2:6" ht="15.75" thickBot="1" x14ac:dyDescent="0.3">
      <c r="B37" s="168" t="s">
        <v>105</v>
      </c>
      <c r="C37" s="169"/>
      <c r="D37" s="104"/>
      <c r="E37" s="105">
        <f>-Unipersonal!F17</f>
        <v>0</v>
      </c>
      <c r="F37" s="44"/>
    </row>
    <row r="38" spans="2:6" ht="18" customHeight="1" thickTop="1" thickBot="1" x14ac:dyDescent="0.3">
      <c r="B38" s="172" t="s">
        <v>3</v>
      </c>
      <c r="C38" s="173"/>
      <c r="D38" s="106"/>
      <c r="E38" s="107">
        <f>SUM(E34:E37)</f>
        <v>0</v>
      </c>
      <c r="F38" s="44" t="s">
        <v>50</v>
      </c>
    </row>
    <row r="39" spans="2:6" ht="18" customHeight="1" thickBot="1" x14ac:dyDescent="0.3">
      <c r="B39" s="141" t="s">
        <v>100</v>
      </c>
      <c r="C39" s="143"/>
      <c r="D39" s="108" t="str">
        <f>+F32&amp;" - "&amp;F38</f>
        <v>(A) - (B)</v>
      </c>
      <c r="E39" s="109">
        <f>+E32-E38</f>
        <v>100000</v>
      </c>
    </row>
    <row r="40" spans="2:6" ht="18" customHeight="1" thickBot="1" x14ac:dyDescent="0.3">
      <c r="B40" s="150" t="str">
        <f>"Determinación del coeficiente de actualizacion para el periodo fiscal "&amp;IPC!$C$10</f>
        <v>Determinación del coeficiente de actualizacion para el periodo fiscal 2019</v>
      </c>
      <c r="C40" s="151"/>
      <c r="D40" s="151"/>
      <c r="E40" s="152"/>
    </row>
    <row r="41" spans="2:6" ht="18" customHeight="1" x14ac:dyDescent="0.25">
      <c r="B41" s="148" t="str">
        <f>+"Índice de Precios al Consumidor Nivel General 12/"&amp;IPC!$C$10</f>
        <v>Índice de Precios al Consumidor Nivel General 12/2019</v>
      </c>
      <c r="C41" s="149"/>
      <c r="D41" s="81">
        <f>+VLOOKUP(DATE(IPC!$C$10,12,1),IPC!$B$13:$C$25,2,FALSE)</f>
        <v>283.44420000000002</v>
      </c>
      <c r="E41" s="82"/>
    </row>
    <row r="42" spans="2:6" ht="18" customHeight="1" x14ac:dyDescent="0.25">
      <c r="B42" s="148" t="str">
        <f>+"Índice de Precios al Consumidor Nivel General 12/"&amp;IPC!$C$10-1</f>
        <v>Índice de Precios al Consumidor Nivel General 12/2018</v>
      </c>
      <c r="C42" s="149"/>
      <c r="D42" s="83">
        <f>+VLOOKUP(DATE(IPC!$C$10-1,12,1),IPC!$B$13:$C$25,2,FALSE)</f>
        <v>184.2552</v>
      </c>
      <c r="E42" s="84"/>
    </row>
    <row r="43" spans="2:6" ht="18" customHeight="1" thickBot="1" x14ac:dyDescent="0.3">
      <c r="B43" s="153" t="str">
        <f>"Coeficiente de actualizacion para el periodo fiscal "&amp;IPC!$C$10</f>
        <v>Coeficiente de actualizacion para el periodo fiscal 2019</v>
      </c>
      <c r="C43" s="154"/>
      <c r="D43" s="85">
        <f>+ROUND((D41/D42)-1,4)</f>
        <v>0.5383</v>
      </c>
      <c r="E43" s="86"/>
    </row>
    <row r="44" spans="2:6" ht="18" customHeight="1" thickTop="1" thickBot="1" x14ac:dyDescent="0.3">
      <c r="B44" s="155" t="str">
        <f>"Ajuste por inflación impositivo estático | "&amp;IF(E39&lt;0,"Positivo","Negativo")</f>
        <v>Ajuste por inflación impositivo estático | Negativo</v>
      </c>
      <c r="C44" s="156"/>
      <c r="D44" s="157"/>
      <c r="E44" s="87">
        <f>+ROUND(E39*D43,2)</f>
        <v>53830</v>
      </c>
      <c r="F44" s="44" t="s">
        <v>15</v>
      </c>
    </row>
    <row r="45" spans="2:6" ht="18" customHeight="1" x14ac:dyDescent="0.25">
      <c r="E45" s="9"/>
    </row>
  </sheetData>
  <sheetProtection formatCells="0" formatColumns="0" formatRows="0" insertRows="0"/>
  <mergeCells count="20">
    <mergeCell ref="B39:C39"/>
    <mergeCell ref="H2:H5"/>
    <mergeCell ref="B10:C10"/>
    <mergeCell ref="B12:C12"/>
    <mergeCell ref="B13:C13"/>
    <mergeCell ref="B32:C32"/>
    <mergeCell ref="B34:C34"/>
    <mergeCell ref="B11:E11"/>
    <mergeCell ref="B33:E33"/>
    <mergeCell ref="B37:C37"/>
    <mergeCell ref="B36:C36"/>
    <mergeCell ref="B38:C38"/>
    <mergeCell ref="B30:C30"/>
    <mergeCell ref="B31:C31"/>
    <mergeCell ref="B35:C35"/>
    <mergeCell ref="B42:C42"/>
    <mergeCell ref="B40:E40"/>
    <mergeCell ref="B41:C41"/>
    <mergeCell ref="B43:C43"/>
    <mergeCell ref="B44:D44"/>
  </mergeCells>
  <dataValidations count="1">
    <dataValidation type="whole" operator="equal" allowBlank="1" showInputMessage="1" showErrorMessage="1" error="Conceptos no aplicables a explotación unipersonal" prompt="No ingresar valores" sqref="E27:E28 E25 E24">
      <formula1>0</formula1>
    </dataValidation>
  </dataValidations>
  <pageMargins left="0.39370078740157483" right="0.39370078740157483" top="0.39370078740157483" bottom="0.39370078740157483" header="0" footer="0"/>
  <pageSetup paperSize="9" scale="62" orientation="portrait" r:id="rId1"/>
  <ignoredErrors>
    <ignoredError sqref="B12:E23 B29:E44 B27:D28 B26:E26 B25:D25 B24:D24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Q28"/>
  <sheetViews>
    <sheetView showGridLines="0" zoomScaleNormal="100" workbookViewId="0">
      <selection activeCell="I9" sqref="I9"/>
    </sheetView>
  </sheetViews>
  <sheetFormatPr baseColWidth="10" defaultRowHeight="18" customHeight="1" x14ac:dyDescent="0.25"/>
  <cols>
    <col min="1" max="1" width="3.7109375" style="14" customWidth="1"/>
    <col min="2" max="2" width="82.85546875" style="14" customWidth="1"/>
    <col min="3" max="16384" width="11.42578125" style="14"/>
  </cols>
  <sheetData>
    <row r="1" spans="1:17" s="139" customFormat="1" ht="9" customHeight="1" thickBot="1" x14ac:dyDescent="0.3"/>
    <row r="2" spans="1:17" s="139" customFormat="1" ht="9" customHeight="1" x14ac:dyDescent="0.25">
      <c r="I2" s="178" t="str">
        <f>+IPC!$O$2</f>
        <v>Periodo Fiscal 2019</v>
      </c>
    </row>
    <row r="3" spans="1:17" s="139" customFormat="1" ht="9" customHeight="1" x14ac:dyDescent="0.25">
      <c r="I3" s="179"/>
    </row>
    <row r="4" spans="1:17" s="139" customFormat="1" ht="9" customHeight="1" x14ac:dyDescent="0.25">
      <c r="I4" s="179"/>
    </row>
    <row r="5" spans="1:17" s="139" customFormat="1" ht="9" customHeight="1" thickBot="1" x14ac:dyDescent="0.3">
      <c r="I5" s="180"/>
    </row>
    <row r="6" spans="1:17" s="182" customFormat="1" ht="9" customHeight="1" thickBot="1" x14ac:dyDescent="0.3"/>
    <row r="7" spans="1:17" s="8" customFormat="1" ht="9" customHeight="1" x14ac:dyDescent="0.25">
      <c r="A7" s="9"/>
    </row>
    <row r="8" spans="1:17" s="9" customFormat="1" ht="18" customHeight="1" x14ac:dyDescent="0.25">
      <c r="B8" s="10" t="s">
        <v>106</v>
      </c>
      <c r="N8" s="11" t="s">
        <v>102</v>
      </c>
      <c r="O8" s="12" t="s">
        <v>13</v>
      </c>
      <c r="Q8" s="13"/>
    </row>
    <row r="9" spans="1:17" ht="18" customHeight="1" thickBot="1" x14ac:dyDescent="0.3">
      <c r="A9" s="16"/>
    </row>
    <row r="10" spans="1:17" ht="18" customHeight="1" thickBot="1" x14ac:dyDescent="0.3">
      <c r="B10" s="17" t="s">
        <v>107</v>
      </c>
      <c r="C10" s="65">
        <f>+DATE(IPC!$C$10,1,1)</f>
        <v>43466</v>
      </c>
      <c r="D10" s="66">
        <f>+DATE(IPC!$C$10,2,1)</f>
        <v>43497</v>
      </c>
      <c r="E10" s="66">
        <f>+DATE(IPC!$C$10,3,1)</f>
        <v>43525</v>
      </c>
      <c r="F10" s="66">
        <f>+DATE(IPC!$C$10,4,1)</f>
        <v>43556</v>
      </c>
      <c r="G10" s="66">
        <f>+DATE(IPC!$C$10,5,1)</f>
        <v>43586</v>
      </c>
      <c r="H10" s="66">
        <f>+DATE(IPC!$C$10,6,1)</f>
        <v>43617</v>
      </c>
      <c r="I10" s="66">
        <f>+DATE(IPC!$C$10,7,1)</f>
        <v>43647</v>
      </c>
      <c r="J10" s="66">
        <f>+DATE(IPC!$C$10,8,1)</f>
        <v>43678</v>
      </c>
      <c r="K10" s="66">
        <f>+DATE(IPC!$C$10,9,1)</f>
        <v>43709</v>
      </c>
      <c r="L10" s="66">
        <f>+DATE(IPC!$C$10,10,1)</f>
        <v>43739</v>
      </c>
      <c r="M10" s="66">
        <f>+DATE(IPC!$C$10,11,1)</f>
        <v>43770</v>
      </c>
      <c r="N10" s="67">
        <f>+DATE(IPC!$C$10,12,1)</f>
        <v>43800</v>
      </c>
      <c r="O10" s="17" t="s">
        <v>45</v>
      </c>
    </row>
    <row r="11" spans="1:17" ht="18" customHeight="1" x14ac:dyDescent="0.25">
      <c r="B11" s="18" t="s">
        <v>114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1"/>
      <c r="O11" s="22"/>
    </row>
    <row r="12" spans="1:17" ht="18" customHeight="1" x14ac:dyDescent="0.25">
      <c r="B12" s="23" t="s">
        <v>108</v>
      </c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  <c r="O12" s="45">
        <f t="shared" ref="O12:O24" si="0">+SUM(C12:N12)</f>
        <v>0</v>
      </c>
    </row>
    <row r="13" spans="1:17" ht="18" customHeight="1" x14ac:dyDescent="0.25">
      <c r="B13" s="27" t="s">
        <v>109</v>
      </c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  <c r="O13" s="46"/>
    </row>
    <row r="14" spans="1:17" ht="18" customHeight="1" x14ac:dyDescent="0.25">
      <c r="B14" s="31" t="s">
        <v>110</v>
      </c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30"/>
      <c r="O14" s="46">
        <f t="shared" si="0"/>
        <v>0</v>
      </c>
    </row>
    <row r="15" spans="1:17" ht="18" customHeight="1" x14ac:dyDescent="0.25">
      <c r="B15" s="31" t="s">
        <v>90</v>
      </c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0"/>
      <c r="O15" s="46">
        <f t="shared" si="0"/>
        <v>0</v>
      </c>
    </row>
    <row r="16" spans="1:17" ht="18" customHeight="1" x14ac:dyDescent="0.25">
      <c r="B16" s="31" t="s">
        <v>111</v>
      </c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0"/>
      <c r="O16" s="46">
        <f t="shared" si="0"/>
        <v>0</v>
      </c>
    </row>
    <row r="17" spans="2:16" ht="18" customHeight="1" x14ac:dyDescent="0.25">
      <c r="B17" s="31" t="s">
        <v>112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46">
        <f t="shared" si="0"/>
        <v>0</v>
      </c>
    </row>
    <row r="18" spans="2:16" ht="18" customHeight="1" x14ac:dyDescent="0.25">
      <c r="B18" s="31" t="s">
        <v>113</v>
      </c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  <c r="O18" s="46">
        <f t="shared" si="0"/>
        <v>0</v>
      </c>
    </row>
    <row r="19" spans="2:16" ht="30" x14ac:dyDescent="0.25">
      <c r="B19" s="32" t="s">
        <v>116</v>
      </c>
      <c r="C19" s="33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5"/>
      <c r="O19" s="47">
        <f t="shared" si="0"/>
        <v>0</v>
      </c>
    </row>
    <row r="20" spans="2:16" ht="18" customHeight="1" x14ac:dyDescent="0.25">
      <c r="B20" s="36" t="s">
        <v>115</v>
      </c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  <c r="O20" s="48"/>
    </row>
    <row r="21" spans="2:16" ht="18" customHeight="1" x14ac:dyDescent="0.25">
      <c r="B21" s="27" t="s">
        <v>117</v>
      </c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0"/>
      <c r="O21" s="46">
        <f t="shared" si="0"/>
        <v>0</v>
      </c>
    </row>
    <row r="22" spans="2:16" ht="30" x14ac:dyDescent="0.25">
      <c r="B22" s="40" t="s">
        <v>118</v>
      </c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  <c r="O22" s="46">
        <f t="shared" si="0"/>
        <v>0</v>
      </c>
    </row>
    <row r="23" spans="2:16" ht="30" x14ac:dyDescent="0.25">
      <c r="B23" s="32" t="s">
        <v>119</v>
      </c>
      <c r="C23" s="33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>
        <f t="shared" si="0"/>
        <v>0</v>
      </c>
    </row>
    <row r="24" spans="2:16" ht="18" customHeight="1" thickBot="1" x14ac:dyDescent="0.3">
      <c r="B24" s="41" t="s">
        <v>123</v>
      </c>
      <c r="C24" s="53">
        <f>+SUM(C12:C19)-(SUM(C21:C23))</f>
        <v>0</v>
      </c>
      <c r="D24" s="54">
        <f t="shared" ref="D24:N24" si="1">+SUM(D12:D19)-(SUM(D21:D23))</f>
        <v>0</v>
      </c>
      <c r="E24" s="54">
        <f t="shared" si="1"/>
        <v>0</v>
      </c>
      <c r="F24" s="54">
        <f t="shared" si="1"/>
        <v>0</v>
      </c>
      <c r="G24" s="54">
        <f t="shared" si="1"/>
        <v>0</v>
      </c>
      <c r="H24" s="54">
        <f t="shared" si="1"/>
        <v>0</v>
      </c>
      <c r="I24" s="54">
        <f t="shared" si="1"/>
        <v>0</v>
      </c>
      <c r="J24" s="54">
        <f t="shared" si="1"/>
        <v>0</v>
      </c>
      <c r="K24" s="54">
        <f t="shared" si="1"/>
        <v>0</v>
      </c>
      <c r="L24" s="54">
        <f t="shared" si="1"/>
        <v>0</v>
      </c>
      <c r="M24" s="54">
        <f t="shared" si="1"/>
        <v>0</v>
      </c>
      <c r="N24" s="55">
        <f t="shared" si="1"/>
        <v>0</v>
      </c>
      <c r="O24" s="49">
        <f t="shared" si="0"/>
        <v>0</v>
      </c>
    </row>
    <row r="25" spans="2:16" ht="18" customHeight="1" thickTop="1" x14ac:dyDescent="0.25">
      <c r="B25" s="27" t="s">
        <v>120</v>
      </c>
      <c r="C25" s="56">
        <f>+VLOOKUP(C$10,IPC!$B$13:$C$25,2,FALSE)</f>
        <v>189.61009999999999</v>
      </c>
      <c r="D25" s="57">
        <f>+VLOOKUP(D$10,IPC!$B$13:$C$25,2,FALSE)</f>
        <v>196.7501</v>
      </c>
      <c r="E25" s="57">
        <f>+VLOOKUP(E$10,IPC!$B$13:$C$25,2,FALSE)</f>
        <v>205.9571</v>
      </c>
      <c r="F25" s="57">
        <f>+VLOOKUP(F$10,IPC!$B$13:$C$25,2,FALSE)</f>
        <v>213.05170000000001</v>
      </c>
      <c r="G25" s="57">
        <f>+VLOOKUP(G$10,IPC!$B$13:$C$25,2,FALSE)</f>
        <v>219.56909999999999</v>
      </c>
      <c r="H25" s="57">
        <f>+VLOOKUP(H$10,IPC!$B$13:$C$25,2,FALSE)</f>
        <v>225.53700000000001</v>
      </c>
      <c r="I25" s="57">
        <f>+VLOOKUP(I$10,IPC!$B$13:$C$25,2,FALSE)</f>
        <v>230.494</v>
      </c>
      <c r="J25" s="57">
        <f>+VLOOKUP(J$10,IPC!$B$13:$C$25,2,FALSE)</f>
        <v>239.60769999999999</v>
      </c>
      <c r="K25" s="57">
        <f>+VLOOKUP(K$10,IPC!$B$13:$C$25,2,FALSE)</f>
        <v>253.71019999999999</v>
      </c>
      <c r="L25" s="57">
        <f>+VLOOKUP(L$10,IPC!$B$13:$C$25,2,FALSE)</f>
        <v>262.06610000000001</v>
      </c>
      <c r="M25" s="57">
        <f>+VLOOKUP(M$10,IPC!$B$13:$C$25,2,FALSE)</f>
        <v>273.2158</v>
      </c>
      <c r="N25" s="58">
        <f>+VLOOKUP(N$10,IPC!$B$13:$C$25,2,FALSE)</f>
        <v>283.44420000000002</v>
      </c>
      <c r="O25" s="50"/>
    </row>
    <row r="26" spans="2:16" ht="18" customHeight="1" x14ac:dyDescent="0.25">
      <c r="B26" s="27" t="str">
        <f>+"Índice de Precios al Consumidor Nivel General 12/"&amp;IPC!$C$10</f>
        <v>Índice de Precios al Consumidor Nivel General 12/2019</v>
      </c>
      <c r="C26" s="56">
        <f>+'AxII Estatico'!$D$41</f>
        <v>283.44420000000002</v>
      </c>
      <c r="D26" s="57">
        <f>+'AxII Estatico'!$D$41</f>
        <v>283.44420000000002</v>
      </c>
      <c r="E26" s="57">
        <f>+'AxII Estatico'!$D$41</f>
        <v>283.44420000000002</v>
      </c>
      <c r="F26" s="57">
        <f>+'AxII Estatico'!$D$41</f>
        <v>283.44420000000002</v>
      </c>
      <c r="G26" s="57">
        <f>+'AxII Estatico'!$D$41</f>
        <v>283.44420000000002</v>
      </c>
      <c r="H26" s="57">
        <f>+'AxII Estatico'!$D$41</f>
        <v>283.44420000000002</v>
      </c>
      <c r="I26" s="57">
        <f>+'AxII Estatico'!$D$41</f>
        <v>283.44420000000002</v>
      </c>
      <c r="J26" s="57">
        <f>+'AxII Estatico'!$D$41</f>
        <v>283.44420000000002</v>
      </c>
      <c r="K26" s="57">
        <f>+'AxII Estatico'!$D$41</f>
        <v>283.44420000000002</v>
      </c>
      <c r="L26" s="57">
        <f>+'AxII Estatico'!$D$41</f>
        <v>283.44420000000002</v>
      </c>
      <c r="M26" s="57">
        <f>+'AxII Estatico'!$D$41</f>
        <v>283.44420000000002</v>
      </c>
      <c r="N26" s="58">
        <f>+'AxII Estatico'!$D$41</f>
        <v>283.44420000000002</v>
      </c>
      <c r="O26" s="50"/>
    </row>
    <row r="27" spans="2:16" ht="18" customHeight="1" thickBot="1" x14ac:dyDescent="0.3">
      <c r="B27" s="42" t="s">
        <v>121</v>
      </c>
      <c r="C27" s="59">
        <f>+ROUND(C26/C25-1,4)</f>
        <v>0.49490000000000001</v>
      </c>
      <c r="D27" s="60">
        <f t="shared" ref="D27:N27" si="2">+ROUND(D26/D25-1,4)</f>
        <v>0.44059999999999999</v>
      </c>
      <c r="E27" s="60">
        <f t="shared" si="2"/>
        <v>0.37619999999999998</v>
      </c>
      <c r="F27" s="60">
        <f t="shared" si="2"/>
        <v>0.33040000000000003</v>
      </c>
      <c r="G27" s="60">
        <f t="shared" si="2"/>
        <v>0.29089999999999999</v>
      </c>
      <c r="H27" s="60">
        <f t="shared" si="2"/>
        <v>0.25679999999999997</v>
      </c>
      <c r="I27" s="60">
        <f t="shared" si="2"/>
        <v>0.22969999999999999</v>
      </c>
      <c r="J27" s="60">
        <f t="shared" si="2"/>
        <v>0.183</v>
      </c>
      <c r="K27" s="60">
        <f t="shared" si="2"/>
        <v>0.1172</v>
      </c>
      <c r="L27" s="60">
        <f t="shared" si="2"/>
        <v>8.1600000000000006E-2</v>
      </c>
      <c r="M27" s="60">
        <f t="shared" si="2"/>
        <v>3.7400000000000003E-2</v>
      </c>
      <c r="N27" s="61">
        <f t="shared" si="2"/>
        <v>0</v>
      </c>
      <c r="O27" s="51"/>
    </row>
    <row r="28" spans="2:16" ht="18" customHeight="1" thickTop="1" thickBot="1" x14ac:dyDescent="0.3">
      <c r="B28" s="43" t="s">
        <v>122</v>
      </c>
      <c r="C28" s="62">
        <f>+ROUND(C27*C24,2)</f>
        <v>0</v>
      </c>
      <c r="D28" s="63">
        <f t="shared" ref="D28:N28" si="3">+ROUND(D27*D24,2)</f>
        <v>0</v>
      </c>
      <c r="E28" s="63">
        <f t="shared" si="3"/>
        <v>0</v>
      </c>
      <c r="F28" s="63">
        <f t="shared" si="3"/>
        <v>0</v>
      </c>
      <c r="G28" s="63">
        <f t="shared" si="3"/>
        <v>0</v>
      </c>
      <c r="H28" s="63">
        <f t="shared" si="3"/>
        <v>0</v>
      </c>
      <c r="I28" s="63">
        <f t="shared" si="3"/>
        <v>0</v>
      </c>
      <c r="J28" s="63">
        <f t="shared" si="3"/>
        <v>0</v>
      </c>
      <c r="K28" s="63">
        <f t="shared" si="3"/>
        <v>0</v>
      </c>
      <c r="L28" s="63">
        <f t="shared" si="3"/>
        <v>0</v>
      </c>
      <c r="M28" s="63">
        <f t="shared" si="3"/>
        <v>0</v>
      </c>
      <c r="N28" s="64">
        <f t="shared" si="3"/>
        <v>0</v>
      </c>
      <c r="O28" s="52">
        <f>+SUM(C28:N28)</f>
        <v>0</v>
      </c>
      <c r="P28" s="44" t="s">
        <v>15</v>
      </c>
    </row>
  </sheetData>
  <mergeCells count="1">
    <mergeCell ref="I2:I5"/>
  </mergeCells>
  <dataValidations count="2">
    <dataValidation type="whole" operator="greaterThanOrEqual" allowBlank="1" showInputMessage="1" showErrorMessage="1" errorTitle="Error en valor ingresado" error="Solo deben insertarse valores sin considerar el signo." promptTitle="Error en carga de importe" prompt="Solo se deben cargar valores sin importar el signo del ajuste" sqref="C11:N11">
      <formula1>0</formula1>
    </dataValidation>
    <dataValidation type="whole" operator="greaterThanOrEqual" allowBlank="1" showInputMessage="1" showErrorMessage="1" errorTitle="Error en valor ingresado" error="Solo deben insertarse valores sin considerar el signo." prompt="Solo se deben cargar valores sin importar el signo del ajuste" sqref="C12:N23">
      <formula1>0</formula1>
    </dataValidation>
  </dataValidations>
  <pageMargins left="0.39370078740157483" right="0.39370078740157483" top="0.39370078740157483" bottom="0.39370078740157483" header="0" footer="0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INDICE</vt:lpstr>
      <vt:lpstr>IPC</vt:lpstr>
      <vt:lpstr>Unipersonal</vt:lpstr>
      <vt:lpstr>AXI</vt:lpstr>
      <vt:lpstr>AxII Estatico</vt:lpstr>
      <vt:lpstr>AxII Dinámico</vt:lpstr>
      <vt:lpstr>AXI!Área_de_impresión</vt:lpstr>
      <vt:lpstr>'AxII Dinámico'!Área_de_impresión</vt:lpstr>
      <vt:lpstr>'AxII Estatico'!Área_de_impresión</vt:lpstr>
      <vt:lpstr>IPC!Área_de_impresión</vt:lpstr>
      <vt:lpstr>Unipersonal!Área_de_impresión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</dc:creator>
  <cp:lastModifiedBy>Ulises Pellegrino</cp:lastModifiedBy>
  <cp:lastPrinted>2018-06-28T17:24:58Z</cp:lastPrinted>
  <dcterms:created xsi:type="dcterms:W3CDTF">2013-04-08T22:31:22Z</dcterms:created>
  <dcterms:modified xsi:type="dcterms:W3CDTF">2020-07-03T18:52:55Z</dcterms:modified>
</cp:coreProperties>
</file>